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schutternet.sharepoint.com/sites/itontwikkeling/Shared Documents/General/Inschrijvingen/2025/csv bestanden/"/>
    </mc:Choice>
  </mc:AlternateContent>
  <xr:revisionPtr revIDLastSave="5" documentId="8_{1981DC80-1FBA-C34A-B649-BB81BE7C73D3}" xr6:coauthVersionLast="47" xr6:coauthVersionMax="47" xr10:uidLastSave="{CFE29C65-52B2-154F-8090-084F0584B75A}"/>
  <bookViews>
    <workbookView xWindow="0" yWindow="780" windowWidth="34200" windowHeight="19940" xr2:uid="{03CD9580-A04D-4759-BAC1-CC6687E7BA10}"/>
  </bookViews>
  <sheets>
    <sheet name="Kringdagen" sheetId="7" r:id="rId1"/>
    <sheet name="KDM" sheetId="3" r:id="rId2"/>
    <sheet name="KDL" sheetId="4" r:id="rId3"/>
    <sheet name="KDA" sheetId="5" r:id="rId4"/>
    <sheet name="KDRvNB" sheetId="6" r:id="rId5"/>
    <sheet name="LJ" sheetId="11" state="hidden" r:id="rId6"/>
    <sheet name="FSD" sheetId="2" r:id="rId7"/>
    <sheet name="GKVI" sheetId="8" r:id="rId8"/>
    <sheet name="BIEL" sheetId="10" r:id="rId9"/>
  </sheets>
  <definedNames>
    <definedName name="ExternalData_1" localSheetId="6" hidden="1">FSD!$A$6:$BW$47</definedName>
    <definedName name="ExternalData_1" localSheetId="3" hidden="1">KDA!$A$6:$BX$31</definedName>
    <definedName name="ExternalData_1" localSheetId="2" hidden="1">KDL!$A$6:$BW$26</definedName>
    <definedName name="ExternalData_1" localSheetId="1" hidden="1">KDM!$A$7:$BW$20</definedName>
    <definedName name="ExternalData_1" localSheetId="4" hidden="1">KDRvNB!$A$6:$BW$20</definedName>
    <definedName name="ExternalData_1" localSheetId="0" hidden="1">Kringdagen!$A$6:$BY$117</definedName>
    <definedName name="ExterneGegevens_1" localSheetId="3" hidden="1">KDA!#REF!</definedName>
    <definedName name="ExterneGegevens_1" localSheetId="2" hidden="1">KDL!#REF!</definedName>
    <definedName name="ExterneGegevens_1" localSheetId="1" hidden="1">KDM!#REF!</definedName>
    <definedName name="ExterneGegevens_1" localSheetId="4" hidden="1">KDRvNB!#REF!</definedName>
    <definedName name="ExterneGegevens_1" localSheetId="0" hidden="1">Kringdagen!#REF!</definedName>
    <definedName name="ExterneGegevens_2" localSheetId="8" hidden="1">BIEL!$A$5:$K$25</definedName>
    <definedName name="ExterneGegevens_4" localSheetId="7" hidden="1">GKVI!$A$6:$W$38</definedName>
    <definedName name="ExterneGegevens_4" localSheetId="5" hidden="1">LJ!$A$6:$BW$7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4" l="1"/>
  <c r="D27" i="4"/>
  <c r="E27" i="4"/>
  <c r="F27" i="4"/>
  <c r="G27" i="4"/>
  <c r="H27" i="4"/>
  <c r="I27" i="4"/>
  <c r="J27" i="4"/>
  <c r="K27" i="4"/>
  <c r="L27" i="4"/>
  <c r="M27" i="4"/>
  <c r="N27" i="4"/>
  <c r="O27" i="4"/>
  <c r="P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W27" i="4"/>
  <c r="C21" i="3"/>
  <c r="D21" i="3"/>
  <c r="E21" i="3"/>
  <c r="F21" i="3"/>
  <c r="G21" i="3"/>
  <c r="H21" i="3"/>
  <c r="I21" i="3"/>
  <c r="J21" i="3"/>
  <c r="K21" i="3"/>
  <c r="L21" i="3"/>
  <c r="M21" i="3"/>
  <c r="N21" i="3"/>
  <c r="O21" i="3"/>
  <c r="P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W21" i="3"/>
  <c r="C32" i="5"/>
  <c r="D32" i="5"/>
  <c r="E32" i="5"/>
  <c r="F32" i="5"/>
  <c r="G32" i="5"/>
  <c r="H32" i="5"/>
  <c r="I32" i="5"/>
  <c r="J32" i="5"/>
  <c r="K32" i="5"/>
  <c r="L32" i="5"/>
  <c r="M32" i="5"/>
  <c r="N32" i="5"/>
  <c r="O32" i="5"/>
  <c r="P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W32" i="5"/>
  <c r="C48" i="2"/>
  <c r="D48" i="2"/>
  <c r="E48" i="2"/>
  <c r="F48" i="2"/>
  <c r="G48" i="2"/>
  <c r="H48" i="2"/>
  <c r="I48" i="2"/>
  <c r="J48" i="2"/>
  <c r="K48" i="2"/>
  <c r="L48" i="2"/>
  <c r="M48" i="2"/>
  <c r="N48" i="2"/>
  <c r="O48" i="2"/>
  <c r="P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W48" i="2"/>
  <c r="C21" i="6"/>
  <c r="D21" i="6"/>
  <c r="E21" i="6"/>
  <c r="F21" i="6"/>
  <c r="G21" i="6"/>
  <c r="H21" i="6"/>
  <c r="I21" i="6"/>
  <c r="J21" i="6"/>
  <c r="K21" i="6"/>
  <c r="L21" i="6"/>
  <c r="M21" i="6"/>
  <c r="N21" i="6"/>
  <c r="O21" i="6"/>
  <c r="P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W21" i="6"/>
  <c r="C26" i="10"/>
  <c r="D26" i="10"/>
  <c r="E26" i="10"/>
  <c r="F26" i="10"/>
  <c r="G26" i="10"/>
  <c r="C39" i="8"/>
  <c r="F39" i="8"/>
  <c r="G39" i="8"/>
  <c r="H39" i="8"/>
  <c r="I39" i="8"/>
  <c r="J39" i="8"/>
  <c r="K39" i="8"/>
  <c r="L39" i="8"/>
  <c r="M39" i="8"/>
  <c r="O39" i="8"/>
  <c r="P39" i="8"/>
  <c r="Q39" i="8"/>
  <c r="R39" i="8"/>
  <c r="S39" i="8"/>
  <c r="T39" i="8"/>
  <c r="U39" i="8"/>
  <c r="C118" i="7"/>
  <c r="D118" i="7"/>
  <c r="E118" i="7"/>
  <c r="F118" i="7"/>
  <c r="G118" i="7"/>
  <c r="H118" i="7"/>
  <c r="I118" i="7"/>
  <c r="J118" i="7"/>
  <c r="K118" i="7"/>
  <c r="L118" i="7"/>
  <c r="M118" i="7"/>
  <c r="N118" i="7"/>
  <c r="O118" i="7"/>
  <c r="P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W118" i="7"/>
  <c r="AM8" i="11" l="1"/>
  <c r="CG8" i="11" l="1"/>
  <c r="AO8" i="11"/>
  <c r="AN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5862AB-1258-427D-8EA5-40A8709440DB}" keepAlive="1" name="Query - Bestand transformeren" description="Verbinding maken met de query Bestand transformeren in de werkmap." type="5" refreshedVersion="0" background="1">
    <dbPr connection="Provider=Microsoft.Mashup.OleDb.1;Data Source=$Workbook$;Location=&quot;Bestand transformeren&quot;;Extended Properties=&quot;&quot;" command="SELECT * FROM [Bestand transformeren]"/>
  </connection>
  <connection id="2" xr16:uid="{24C01A1E-D826-4112-9955-886819B151F5}" keepAlive="1" name="Query - Bestand transformeren (2)" description="Verbinding maken met de query Bestand transformeren (2) in de werkmap." type="5" refreshedVersion="0" background="1">
    <dbPr connection="Provider=Microsoft.Mashup.OleDb.1;Data Source=$Workbook$;Location=&quot;Bestand transformeren (2)&quot;;Extended Properties=&quot;&quot;" command="SELECT * FROM [Bestand transformeren (2)]"/>
  </connection>
  <connection id="3" xr16:uid="{3B6A0310-664C-4E64-A3B7-25F3E681196D}" keepAlive="1" name="Query - Bielemantreffen" description="Verbinding maken met de query Bielemantreffen in de werkmap." type="5" refreshedVersion="8" background="1" saveData="1">
    <dbPr connection="Provider=Microsoft.Mashup.OleDb.1;Data Source=$Workbook$;Location=Bielemantreffen;Extended Properties=&quot;&quot;" command="SELECT * FROM [Bielemantreffen]"/>
  </connection>
  <connection id="4" xr16:uid="{69259F06-DFDE-422F-B22F-34F5B8BA4F3C}" keepAlive="1" name="Query - FSD" description="Verbinding maken met de query FSD in de werkmap." type="5" refreshedVersion="8" background="1" saveData="1">
    <dbPr connection="Provider=Microsoft.Mashup.OleDb.1;Data Source=$Workbook$;Location=FSD;Extended Properties=&quot;&quot;" command="SELECT * FROM [FSD]"/>
  </connection>
  <connection id="5" xr16:uid="{29BD84AE-8F27-4908-A83C-7ED73E12DBA2}" keepAlive="1" name="Query - GKVI" description="Verbinding maken met de query GKVI in de werkmap." type="5" refreshedVersion="8" background="1" saveData="1">
    <dbPr connection="Provider=Microsoft.Mashup.OleDb.1;Data Source=$Workbook$;Location=GKVI;Extended Properties=&quot;&quot;" command="SELECT * FROM [GKVI]"/>
  </connection>
  <connection id="6" xr16:uid="{1625A445-E30E-4F48-A0F2-6C74EC2051F0}" keepAlive="1" name="Query - KDA" description="Verbinding maken met de query KDA in de werkmap." type="5" refreshedVersion="8" background="1" saveData="1">
    <dbPr connection="Provider=Microsoft.Mashup.OleDb.1;Data Source=$Workbook$;Location=KDA;Extended Properties=&quot;&quot;" command="SELECT * FROM [KDA]"/>
  </connection>
  <connection id="7" xr16:uid="{95A0D4BA-BB95-4202-94CF-7EEF29081440}" keepAlive="1" name="Query - KDL" description="Verbinding maken met de query KDL in de werkmap." type="5" refreshedVersion="8" background="1" saveData="1">
    <dbPr connection="Provider=Microsoft.Mashup.OleDb.1;Data Source=$Workbook$;Location=KDL;Extended Properties=&quot;&quot;" command="SELECT * FROM [KDL]"/>
  </connection>
  <connection id="8" xr16:uid="{6ECB9EB1-D1B9-490B-9D4B-7E83A861BE9B}" keepAlive="1" name="Query - KDM" description="Verbinding maken met de query KDM in de werkmap." type="5" refreshedVersion="8" background="1" saveData="1">
    <dbPr connection="Provider=Microsoft.Mashup.OleDb.1;Data Source=$Workbook$;Location=KDM;Extended Properties=&quot;&quot;" command="SELECT * FROM [KDM]"/>
  </connection>
  <connection id="9" xr16:uid="{1E5A8A6C-BF60-4AB0-BB7E-7F5846BE3EBD}" keepAlive="1" name="Query - KDRvNB" description="Verbinding maken met de query KDRvNB in de werkmap." type="5" refreshedVersion="8" background="1" saveData="1">
    <dbPr connection="Provider=Microsoft.Mashup.OleDb.1;Data Source=$Workbook$;Location=KDRvNB;Extended Properties=&quot;&quot;" command="SELECT * FROM [KDRvNB]"/>
  </connection>
  <connection id="10" xr16:uid="{CC620F3C-D390-418D-B8F5-4017A3B4A9F8}" keepAlive="1" name="Query - Kringdagen" description="Verbinding maken met de query Kringdagen in de werkmap." type="5" refreshedVersion="8" background="1" saveData="1">
    <dbPr connection="Provider=Microsoft.Mashup.OleDb.1;Data Source=$Workbook$;Location=Kringdagen;Extended Properties=&quot;&quot;" command="SELECT * FROM [Kringdagen]"/>
  </connection>
  <connection id="11" xr16:uid="{BC7C330E-ABF7-4BA8-A950-714863517EFF}" keepAlive="1" name="Query - LJ" description="Verbinding maken met de query LJ in de werkmap." type="5" refreshedVersion="8" background="1" saveData="1">
    <dbPr connection="Provider=Microsoft.Mashup.OleDb.1;Data Source=$Workbook$;Location=LJ;Extended Properties=&quot;&quot;" command="SELECT * FROM [LJ]"/>
  </connection>
  <connection id="12" xr16:uid="{9EB2A673-6133-4718-B17C-8DCFF9F6E361}" keepAlive="1" name="Query - Parameter1" description="Verbinding maken met de query Parameter1 in de werkmap." type="5" refreshedVersion="0" background="1">
    <dbPr connection="Provider=Microsoft.Mashup.OleDb.1;Data Source=$Workbook$;Location=Parameter1;Extended Properties=&quot;&quot;" command="SELECT * FROM [Parameter1]"/>
  </connection>
  <connection id="13" xr16:uid="{57415776-99A3-48CA-9AEB-5FAD9B307722}" keepAlive="1" name="Query - Parameter2" description="Verbinding maken met de query Parameter2 in de werkmap." type="5" refreshedVersion="0" background="1">
    <dbPr connection="Provider=Microsoft.Mashup.OleDb.1;Data Source=$Workbook$;Location=Parameter2;Extended Properties=&quot;&quot;" command="SELECT * FROM [Parameter2]"/>
  </connection>
  <connection id="14" xr16:uid="{14C00971-510E-4456-892D-616488EC8613}" keepAlive="1" name="Query - Voorbeeldbestand" description="Verbinding maken met de query Voorbeeldbestand in de werkmap." type="5" refreshedVersion="0" background="1">
    <dbPr connection="Provider=Microsoft.Mashup.OleDb.1;Data Source=$Workbook$;Location=Voorbeeldbestand;Extended Properties=&quot;&quot;" command="SELECT * FROM [Voorbeeldbestand]"/>
  </connection>
  <connection id="15" xr16:uid="{8850FBBF-3AFD-4368-8D31-E26F6D73CB6B}" keepAlive="1" name="Query - Voorbeeldbestand (2)" description="Verbinding maken met de query Voorbeeldbestand (2) in de werkmap." type="5" refreshedVersion="0" background="1">
    <dbPr connection="Provider=Microsoft.Mashup.OleDb.1;Data Source=$Workbook$;Location=&quot;Voorbeeldbestand (2)&quot;;Extended Properties=&quot;&quot;" command="SELECT * FROM [Voorbeeldbestand (2)]"/>
  </connection>
  <connection id="16" xr16:uid="{3E11B3C3-C94A-4FD2-871D-FF7D335D35BB}" keepAlive="1" name="Query - Voorbeeldbestand transformeren" description="Verbinding maken met de query Voorbeeldbestand transformeren in de werkmap." type="5" refreshedVersion="0" background="1">
    <dbPr connection="Provider=Microsoft.Mashup.OleDb.1;Data Source=$Workbook$;Location=&quot;Voorbeeldbestand transformeren&quot;;Extended Properties=&quot;&quot;" command="SELECT * FROM [Voorbeeldbestand transformeren]"/>
  </connection>
  <connection id="17" xr16:uid="{86331CA9-DD4F-4B74-AFC1-DF8CE4168860}" keepAlive="1" name="Query - Voorbeeldbestand transformeren (2)" description="Verbinding maken met de query Voorbeeldbestand transformeren (2) in de werkmap." type="5" refreshedVersion="0" background="1">
    <dbPr connection="Provider=Microsoft.Mashup.OleDb.1;Data Source=$Workbook$;Location=&quot;Voorbeeldbestand transformeren (2)&quot;;Extended Properties=&quot;&quot;" command="SELECT * FROM [Voorbeeldbestand transformeren (2)]"/>
  </connection>
</connections>
</file>

<file path=xl/sharedStrings.xml><?xml version="1.0" encoding="utf-8"?>
<sst xmlns="http://schemas.openxmlformats.org/spreadsheetml/2006/main" count="9378" uniqueCount="404">
  <si>
    <t>,</t>
  </si>
  <si>
    <t>Start</t>
  </si>
  <si>
    <t>Vendelen</t>
  </si>
  <si>
    <t>Muziek</t>
  </si>
  <si>
    <t>Maj.</t>
  </si>
  <si>
    <t>Bielemannen</t>
  </si>
  <si>
    <t>Mark.</t>
  </si>
  <si>
    <t>Schieten</t>
  </si>
  <si>
    <t>Overige gegevens</t>
  </si>
  <si>
    <t>Details muziek</t>
  </si>
  <si>
    <t>Details majorette</t>
  </si>
  <si>
    <t>Klassiek</t>
  </si>
  <si>
    <t>Acrobatish</t>
  </si>
  <si>
    <t>Show</t>
  </si>
  <si>
    <t>Individueel</t>
  </si>
  <si>
    <t>Hoofdkorps</t>
  </si>
  <si>
    <t>2e korps</t>
  </si>
  <si>
    <t>Kringdag</t>
  </si>
  <si>
    <t>Ver.nr</t>
  </si>
  <si>
    <t>Naam vereniging</t>
  </si>
  <si>
    <t>Delegatie</t>
  </si>
  <si>
    <t>Muziekkorps bij mars en defilé</t>
  </si>
  <si>
    <t>Deeln. jeugdkoningschieten</t>
  </si>
  <si>
    <t>Maj. Senioren jureren bij mars</t>
  </si>
  <si>
    <t>Maj. Jeugd jureren bij mars</t>
  </si>
  <si>
    <t>Korps senioren</t>
  </si>
  <si>
    <t>Acrobatisch senioren</t>
  </si>
  <si>
    <t>Acrobatisch junioren</t>
  </si>
  <si>
    <t>Acrobatisch aspiranten</t>
  </si>
  <si>
    <t>Show senioren</t>
  </si>
  <si>
    <t>Show junioren</t>
  </si>
  <si>
    <t>Show aspiranten</t>
  </si>
  <si>
    <t>Senioren indiv.</t>
  </si>
  <si>
    <t>Junioren indiv.</t>
  </si>
  <si>
    <t>Aspiranten indiv.</t>
  </si>
  <si>
    <t>Sen. ind opgegeven namen</t>
  </si>
  <si>
    <t>Jun. ind opgegeven namen</t>
  </si>
  <si>
    <t>Asp. ind opgegeven namen</t>
  </si>
  <si>
    <t>Senioren</t>
  </si>
  <si>
    <t>Junioren</t>
  </si>
  <si>
    <t>Aspiranten</t>
  </si>
  <si>
    <t>Marketentsters</t>
  </si>
  <si>
    <t>Luchtgeweer</t>
  </si>
  <si>
    <t>Luchtpistool</t>
  </si>
  <si>
    <t>Kruisboog</t>
  </si>
  <si>
    <t>Handboog</t>
  </si>
  <si>
    <t>Totaal aantal deelnemers</t>
  </si>
  <si>
    <t>Waarvan aantal jeugd (t/m 15 jaar)</t>
  </si>
  <si>
    <t>Kanon etc.</t>
  </si>
  <si>
    <t>Paarden en/of koetsen</t>
  </si>
  <si>
    <t>Toelichting/opmerkingen</t>
  </si>
  <si>
    <t>Inzending-ID</t>
  </si>
  <si>
    <t>Inzenddatum</t>
  </si>
  <si>
    <t>Naam van het hoofdkorps</t>
  </si>
  <si>
    <t>Zal op treden als (hoofdkorps)</t>
  </si>
  <si>
    <t>Vorm van twee muziekwerken (hoofdkorps)</t>
  </si>
  <si>
    <t>Zal uitkomen in de: (hoofdkorps)</t>
  </si>
  <si>
    <t>Muziekwerk1 (hoofdkorps)</t>
  </si>
  <si>
    <t>Muziekwerk2 (hoofdkorps)</t>
  </si>
  <si>
    <t>Korps bestaat uit ... deelnemers (hoofdkorps)</t>
  </si>
  <si>
    <t>Naam van het 2e korps</t>
  </si>
  <si>
    <t>Zal op treden als (2e korps)</t>
  </si>
  <si>
    <t>Vorm van twee muziekwerken (2e korps)</t>
  </si>
  <si>
    <t>Zal uitkomen in de: (2e korps)</t>
  </si>
  <si>
    <t>Muziekwerk1 (2e korps)</t>
  </si>
  <si>
    <t>Muziekwerk2 (2e korps)</t>
  </si>
  <si>
    <t>Korps bestaat uit ... deelnemers (2e korps)</t>
  </si>
  <si>
    <t>Onderdelen</t>
  </si>
  <si>
    <t>Secties</t>
  </si>
  <si>
    <t>Leeftijdscategorie</t>
  </si>
  <si>
    <t>Mechanische muziek</t>
  </si>
  <si>
    <t>Aantal opgegeven majorettes</t>
  </si>
  <si>
    <t>x</t>
  </si>
  <si>
    <t/>
  </si>
  <si>
    <t xml:space="preserve"> x</t>
  </si>
  <si>
    <t>Ja</t>
  </si>
  <si>
    <t>Twee stilstaande werken</t>
  </si>
  <si>
    <t>Superieure B (KNMO: tweede divisie)</t>
  </si>
  <si>
    <t>Korps</t>
  </si>
  <si>
    <t>Totaal</t>
  </si>
  <si>
    <t>Kringdag Montferland</t>
  </si>
  <si>
    <t>Kringdag de Liemers</t>
  </si>
  <si>
    <t>Kringdag de Achterhoek</t>
  </si>
  <si>
    <t>Kringdag Rijk van Nijmegen/de Betuwe</t>
  </si>
  <si>
    <t>Landjuweel</t>
  </si>
  <si>
    <t>12 juni 2022, E.M.M. Giesbeek</t>
  </si>
  <si>
    <t>Federatieve schuttersdag</t>
  </si>
  <si>
    <t>Vendelen korps</t>
  </si>
  <si>
    <t>Acrobatisch</t>
  </si>
  <si>
    <t>GKVI</t>
  </si>
  <si>
    <t>Ver.nr.</t>
  </si>
  <si>
    <t>Korps klassiek senioren</t>
  </si>
  <si>
    <t>Korps acrob. senioren</t>
  </si>
  <si>
    <t>Korps acrob. junioren</t>
  </si>
  <si>
    <t>Korps acrob. aspiranten</t>
  </si>
  <si>
    <t>Korps show senioren</t>
  </si>
  <si>
    <t>Korps show junioren</t>
  </si>
  <si>
    <t>Korps show aspiranten</t>
  </si>
  <si>
    <t>Opmerkingen</t>
  </si>
  <si>
    <t>Aantal deelnemers</t>
  </si>
  <si>
    <t>Hiervan is aspirant</t>
  </si>
  <si>
    <t>Aantal ver.</t>
  </si>
  <si>
    <t>BIEL</t>
  </si>
  <si>
    <t>Opmerkingen/toelichting</t>
  </si>
  <si>
    <t>Korps 1 klassiek junioren</t>
  </si>
  <si>
    <t>Korps 2 klassiek junioren</t>
  </si>
  <si>
    <t>Korps 1 klassiek aspiranten</t>
  </si>
  <si>
    <t>Korps 2 klassiek aspiranten</t>
  </si>
  <si>
    <t>Date Updated</t>
  </si>
  <si>
    <t>test vereniging</t>
  </si>
  <si>
    <t>Groepen, teams, ensembles en duo's</t>
  </si>
  <si>
    <t>Jong volwassene</t>
  </si>
  <si>
    <t>Opgegeven senioren</t>
  </si>
  <si>
    <t>Opgegeven jong volwassene</t>
  </si>
  <si>
    <t>Opgegeven junioren</t>
  </si>
  <si>
    <t>Opgegeven aspiranten</t>
  </si>
  <si>
    <t>Luchtgeweer jeugd niet ouder dan 17 jaar.</t>
  </si>
  <si>
    <t>Aantal korpsen</t>
  </si>
  <si>
    <t>Opgegeven jeugdkorpsen LG</t>
  </si>
  <si>
    <t>TEST</t>
  </si>
  <si>
    <t>Werk1</t>
  </si>
  <si>
    <t>werk2</t>
  </si>
  <si>
    <t>Aantal luchtgeweerschutters</t>
  </si>
  <si>
    <t>Aantal luchtpistoolschutters</t>
  </si>
  <si>
    <t>Aantal handboogschutters</t>
  </si>
  <si>
    <t>Aantal kruisboogschutters</t>
  </si>
  <si>
    <t>Junioren korps 1</t>
  </si>
  <si>
    <t>Junioren korps 2</t>
  </si>
  <si>
    <t>Aspiranten korps 1</t>
  </si>
  <si>
    <t>Aspiranten korps 2</t>
  </si>
  <si>
    <t>Schuttersgilde E.M.M. Lobith</t>
  </si>
  <si>
    <t>Ik kan geen namen invullen van personen die meedoen met het schieten (luchtgeweer en luchtpistool)
De vorige keer is dit ook al misgegaan en konden we niet mee schieten.</t>
  </si>
  <si>
    <t>Haaksbergsche Schutterij Haaksbergen</t>
  </si>
  <si>
    <t>Schutterij Wilhelmina Azewijn</t>
  </si>
  <si>
    <t>KDL2025</t>
  </si>
  <si>
    <t>KDA2025</t>
  </si>
  <si>
    <t>KDRVNB2025</t>
  </si>
  <si>
    <t>Gilde St. Salvator Mundi Nederasselt</t>
  </si>
  <si>
    <t>FSD2025</t>
  </si>
  <si>
    <t>25 mei 2025, Eensgezindheid Aerdt</t>
  </si>
  <si>
    <t>13 april 2025, De Eendracht Didam</t>
  </si>
  <si>
    <t>18 mei 2025, Schutterij De Eendracht Ulft</t>
  </si>
  <si>
    <t>22 juni 2025, St. Salvator Mundi Nederasselt</t>
  </si>
  <si>
    <t>21 september 2025, St. Isidorus Oud Dijk</t>
  </si>
  <si>
    <t>Gelders Kampioenschap Vendelen Indoor 30-3-2025</t>
  </si>
  <si>
    <t>De Eendracht Wehl</t>
  </si>
  <si>
    <t>Bielemantreffen 2025</t>
  </si>
  <si>
    <t>Zondag 26 oktober 2025, E.M.M. Giesbeek</t>
  </si>
  <si>
    <t>Het Gilde St. Oswaldus Stokkum</t>
  </si>
  <si>
    <t>Schuttersvereniging St. Antonius Lengel</t>
  </si>
  <si>
    <t>R.K. Schutterij St. Hubertus Groesbeek</t>
  </si>
  <si>
    <t>GKVI2025</t>
  </si>
  <si>
    <t>BIEL2025</t>
  </si>
  <si>
    <t>3004</t>
  </si>
  <si>
    <t>Schutterij St. Isidorus Oud-Dijk</t>
  </si>
  <si>
    <t>De Schanskloppers Lievelde</t>
  </si>
  <si>
    <t>Naar alle waarschijnlijkheid nemen wij deel met 2 tamboers of 1 persoon die de tamboerijn vast heeft. Dit ligt aan de bezetting. Nu nog onduidelijk. 
Commandant is afwezig tijdens concours ivm zwangerschapsverlof dus we zullen naar alle waarschijnlijkheid deelnemen zonder commandant.</t>
  </si>
  <si>
    <t>St. Damianus Gilde Niftrik</t>
  </si>
  <si>
    <t>Koning  St. Damianus  Joop Eichelsheim zal met het kringschieten meedoen.</t>
  </si>
  <si>
    <t>Schuttersgilde St. Sebastianus Gendt</t>
  </si>
  <si>
    <t>Wij doen wel mee met mars en defilé, maar buiten mededinging!
Bij de muziekwedstrijd hoeven we géén jurybeoordeling. We willen graag de show ergens aan publiek presenteren</t>
  </si>
  <si>
    <t>Showoptreden</t>
  </si>
  <si>
    <t>Superieure A (KNMO: eerste divisie)</t>
  </si>
  <si>
    <t>Gildeshow</t>
  </si>
  <si>
    <t>Drumband Schanskloppers Lievelde</t>
  </si>
  <si>
    <t>Naar alle waarschijnlijkheid nemen wij deel met 2 tamboers of 1 persoon die de tamboerijn vast heeft. Dit ligt aan de bezetting. Nu nog onduidelijk.</t>
  </si>
  <si>
    <t>Jong St. Sebastianus</t>
  </si>
  <si>
    <t>KDM2025</t>
  </si>
  <si>
    <t>Schutterij St. Jan Kilder</t>
  </si>
  <si>
    <t>Nee</t>
  </si>
  <si>
    <t>Jong St. Sebastianus Gendt</t>
  </si>
  <si>
    <t>Disney</t>
  </si>
  <si>
    <t>3010</t>
  </si>
  <si>
    <t>1833</t>
  </si>
  <si>
    <t>2014</t>
  </si>
  <si>
    <t>4023</t>
  </si>
  <si>
    <t>4009</t>
  </si>
  <si>
    <t>4008</t>
  </si>
  <si>
    <t>4027</t>
  </si>
  <si>
    <t>1014a</t>
  </si>
  <si>
    <t>1010</t>
  </si>
  <si>
    <t>1014</t>
  </si>
  <si>
    <t>1002</t>
  </si>
  <si>
    <t>1011</t>
  </si>
  <si>
    <t>1099</t>
  </si>
  <si>
    <t>4010</t>
  </si>
  <si>
    <t>3003</t>
  </si>
  <si>
    <t>Schutterij Wilhelmina Didam</t>
  </si>
  <si>
    <t>Duo1,Ensemble1,Ensemble2,Team1</t>
  </si>
  <si>
    <t>Sectie A,Sectie A,Sectie A,Sectie A</t>
  </si>
  <si>
    <t>Jeugd1,Senior,Senior,Senior</t>
  </si>
  <si>
    <t>1839</t>
  </si>
  <si>
    <t>2012</t>
  </si>
  <si>
    <t>Schutterij Willem Tell Loo</t>
  </si>
  <si>
    <t>aantal</t>
  </si>
  <si>
    <t xml:space="preserve">aantal </t>
  </si>
  <si>
    <t>Groep1</t>
  </si>
  <si>
    <t>Sectie A</t>
  </si>
  <si>
    <t>Jeugd1</t>
  </si>
  <si>
    <t>Senior</t>
  </si>
  <si>
    <t>1005</t>
  </si>
  <si>
    <t>Schuttersgenootschap Orde Eendracht Vreugde Millingen a/d Rijn</t>
  </si>
  <si>
    <t>1841</t>
  </si>
  <si>
    <t>3007</t>
  </si>
  <si>
    <t>R.K. Schutterij de Heegh Didam</t>
  </si>
  <si>
    <t>2004</t>
  </si>
  <si>
    <t>Schutterij Eendracht Maakt Macht Ooy-Zevenaar</t>
  </si>
  <si>
    <t>4014</t>
  </si>
  <si>
    <t>2007</t>
  </si>
  <si>
    <t>Schuttersgilde Vrede en Vriendschap Herwen</t>
  </si>
  <si>
    <t>1013</t>
  </si>
  <si>
    <t>Schuttersgilde St. Bavo Angeren</t>
  </si>
  <si>
    <t>4020</t>
  </si>
  <si>
    <t>Schuttersgilde Wals Wieken Milt Gendringen</t>
  </si>
  <si>
    <t>Dit concours organiseren we zelf. We willen de mars- en defiléwedstrijden zelf openen, maar willen niet gejureerd worden.</t>
  </si>
  <si>
    <t>Een marcherend en een stilstaand werk</t>
  </si>
  <si>
    <t>Ere-afdeling (KNMO: derde divisie)</t>
  </si>
  <si>
    <t>Street Swingers</t>
  </si>
  <si>
    <t>The Young Generation</t>
  </si>
  <si>
    <t>Drumfanfare St. Bavo Angeren</t>
  </si>
  <si>
    <t>Arnhem</t>
  </si>
  <si>
    <t>Bavomars</t>
  </si>
  <si>
    <t>Bij voorkeur 's-ochtends indelen</t>
  </si>
  <si>
    <t>1852</t>
  </si>
  <si>
    <t>2008</t>
  </si>
  <si>
    <t>Schuttersgilde Excelsior Lobith</t>
  </si>
  <si>
    <t>1007</t>
  </si>
  <si>
    <t>Schutterij Eendracht Ooij</t>
  </si>
  <si>
    <t>4016</t>
  </si>
  <si>
    <t>Onze Lieve Vrouwe Gilde Varsselder-Veldhunten</t>
  </si>
  <si>
    <t>1868</t>
  </si>
  <si>
    <t>3008</t>
  </si>
  <si>
    <t>Schutterij de Eendracht Nieuw-Wehl</t>
  </si>
  <si>
    <t>De Marketentsters komen ook mee. Zijn daar wedstrijden voor?</t>
  </si>
  <si>
    <t>2013</t>
  </si>
  <si>
    <t>Schutterij Eendracht Maakt Macht Giesbeek</t>
  </si>
  <si>
    <t>Schutterij "De Eendracht" Ulft</t>
  </si>
  <si>
    <t>4024</t>
  </si>
  <si>
    <t>Schuttersgilde St. Jan Keijenborg</t>
  </si>
  <si>
    <t>Veel succes met de organisatie!</t>
  </si>
  <si>
    <t>1873</t>
  </si>
  <si>
    <t>4017</t>
  </si>
  <si>
    <t>Schutterij De Eendracht Etten</t>
  </si>
  <si>
    <t>Hoi Tjebbe, ik zie dat je de jeudgleden qua schieten nog niet de namen kunt invullen? Die gaat nog wel gebeuren voor het concours?
Puur even als opmerking voor nu.
Majorettes doen wij wel mee aan de wedstrijden, deze vul ik voor 31 december nog in.</t>
  </si>
  <si>
    <t>4015</t>
  </si>
  <si>
    <t>Schuttersgilde St. Hubertus Ulft</t>
  </si>
  <si>
    <t>n.t.b.</t>
  </si>
  <si>
    <t>4019</t>
  </si>
  <si>
    <t>Schutterij St. Martinus Megchelen</t>
  </si>
  <si>
    <t>1015</t>
  </si>
  <si>
    <t>Gilden van St. Gangulphus en St. Laurentius Huissen</t>
  </si>
  <si>
    <t>korps</t>
  </si>
  <si>
    <t>Vaandelafdeling (KNMO: vierde divisie)</t>
  </si>
  <si>
    <t>nog niet bekent</t>
  </si>
  <si>
    <t>4013</t>
  </si>
  <si>
    <t>Schuttersgilde St. Joris Ulft</t>
  </si>
  <si>
    <t>1882</t>
  </si>
  <si>
    <t>4003</t>
  </si>
  <si>
    <t>Schutterij St. Martinus Wehl</t>
  </si>
  <si>
    <t>4001</t>
  </si>
  <si>
    <t>Schutterij Sint Martinus Dichteren</t>
  </si>
  <si>
    <t>graag zouden wij tijdens mars- en defiléwedstrijden achter de Eendracht Wehl aansluiten.</t>
  </si>
  <si>
    <t>3002</t>
  </si>
  <si>
    <t>Schutterij Loil Vooruit</t>
  </si>
  <si>
    <t>Team1,Team2,Team3,Groep1,Ensemble1</t>
  </si>
  <si>
    <t>Sectie A,Sectie A,Sectie A,Sectie A,Sectie A, Sectie C</t>
  </si>
  <si>
    <t>Jeugd2,Junior,Senior,Senior,Jeugd3</t>
  </si>
  <si>
    <t>1899</t>
  </si>
  <si>
    <t>Sectie A,Sectie A,Sectie A,Sectie A,Sectie A</t>
  </si>
  <si>
    <t>2006</t>
  </si>
  <si>
    <t>Schuttersgilde Claudius Civilis Pannerden</t>
  </si>
  <si>
    <t>4018</t>
  </si>
  <si>
    <t>St. Walburgis Gilde Netterden</t>
  </si>
  <si>
    <t>Marziale van Jan Schipper</t>
  </si>
  <si>
    <t>Drumspecial van Sandie Egberts</t>
  </si>
  <si>
    <t>1914</t>
  </si>
  <si>
    <t>1910</t>
  </si>
  <si>
    <t>1902</t>
  </si>
  <si>
    <t>3005</t>
  </si>
  <si>
    <t>R.K. Schutter St. Antonius</t>
  </si>
  <si>
    <t>Team1,Team2,Duo1,</t>
  </si>
  <si>
    <t>Sectie D,Sectie A,Sectie A,</t>
  </si>
  <si>
    <t>Jeugd1,Jeugd2,Jeugd3,</t>
  </si>
  <si>
    <t>2009</t>
  </si>
  <si>
    <t>Schuttersvereniging Eendracht Maakt Macht Spijk</t>
  </si>
  <si>
    <t>1915</t>
  </si>
  <si>
    <t>Sempre Fidelis</t>
  </si>
  <si>
    <t>Gibraltar</t>
  </si>
  <si>
    <t>3001</t>
  </si>
  <si>
    <t>Schutterij St. Martinus Greffelkamp Didam</t>
  </si>
  <si>
    <t>Team1,Team2,Team3,Ensemble3</t>
  </si>
  <si>
    <t>Jeugd2,Junior,Senior,Senior</t>
  </si>
  <si>
    <t>2001</t>
  </si>
  <si>
    <t>Schutterij St. Andreas Zevenaar</t>
  </si>
  <si>
    <t>Zowel de senioren als de aspiranten hebben de voorkeur voor vendelen in de middag.</t>
  </si>
  <si>
    <t>4022</t>
  </si>
  <si>
    <t>St. Switbertus Lichtenvoorde</t>
  </si>
  <si>
    <t>Geachte lezer. Wij komen met een groep vendeliers vendelen en om te lopen met de mars en defilé . Het lukt me niet om de vragenlijst zo in te vullen dat alleen dat de uitkomst is. Mocht u vragen hebben dan mag u mij bellen of mailen. 06.53421940 m.rondeel22@gmail.com
Groet, Martin Rondeel</t>
  </si>
  <si>
    <t>1927</t>
  </si>
  <si>
    <t>1008</t>
  </si>
  <si>
    <t>Schutterij EMM Kekerdom</t>
  </si>
  <si>
    <t>moet nog overlegt worden.</t>
  </si>
  <si>
    <t>moet nog overlegt worden</t>
  </si>
  <si>
    <t>3009</t>
  </si>
  <si>
    <t>Hooglandse Schutterij Sint-Martinus Braamt</t>
  </si>
  <si>
    <t>Wij lopen samen met St. Johannes uit Zeddam.</t>
  </si>
  <si>
    <t>3012</t>
  </si>
  <si>
    <t>St. Antoniusgilde ’s Heerenberg</t>
  </si>
  <si>
    <t>Wij hebben alleen Tamboers</t>
  </si>
  <si>
    <t>1012</t>
  </si>
  <si>
    <t>De Schutterij Gijsbrecht van Aemstel van Doornenburg en Honderd Morgen</t>
  </si>
  <si>
    <t>2015</t>
  </si>
  <si>
    <t>Schutterij Eensgezindheid Aerdt</t>
  </si>
  <si>
    <t>1948</t>
  </si>
  <si>
    <t>2003</t>
  </si>
  <si>
    <t>Schuttersvereniging St. Anna</t>
  </si>
  <si>
    <t>2010</t>
  </si>
  <si>
    <t>Gilde St. Remigius Duiven</t>
  </si>
  <si>
    <t>2002</t>
  </si>
  <si>
    <t>Schutterij Onderling Genoegen Duiven</t>
  </si>
  <si>
    <t>1957</t>
  </si>
  <si>
    <t>1954</t>
  </si>
  <si>
    <t>waarschijnlijk 2x ingevuld maar beter dan niet. vriendelijke groet A. Stevens</t>
  </si>
  <si>
    <t>4005</t>
  </si>
  <si>
    <t>Schutterij De Eendracht Wehl</t>
  </si>
  <si>
    <t>nog niet bekend</t>
  </si>
  <si>
    <t>4002</t>
  </si>
  <si>
    <t>Schuttersgilde St. Martinus</t>
  </si>
  <si>
    <t>1963</t>
  </si>
  <si>
    <t>3006</t>
  </si>
  <si>
    <t>De Eendracht Didam</t>
  </si>
  <si>
    <t>80 deelnemers is incl. muziek.
Aangezien wij zelf de organisatie hebben zijn een hoop leden al op de wedstrijd locatie bezig met de voorbereidingen</t>
  </si>
  <si>
    <t>In the Picture</t>
  </si>
  <si>
    <t>Don't leave me this way</t>
  </si>
  <si>
    <t>Duo3,Groep1,Ensemble1,Team2</t>
  </si>
  <si>
    <t>Sectie A,Sectie A,Sectie A,Sectie C</t>
  </si>
  <si>
    <t>Jeugd3,Jeugd1,Senior,Senior</t>
  </si>
  <si>
    <t>Nog invullen</t>
  </si>
  <si>
    <t>80 deelnemers is inclusief muziekkorps.
Is vrij ver weg, maar waarschijnlijk komen we wel met meer mensen</t>
  </si>
  <si>
    <t>1970</t>
  </si>
  <si>
    <t>1966</t>
  </si>
  <si>
    <t>Column1</t>
  </si>
  <si>
    <t>_332</t>
  </si>
  <si>
    <t>2005</t>
  </si>
  <si>
    <t>Gilde St. Jan Babberich</t>
  </si>
  <si>
    <t>2011</t>
  </si>
  <si>
    <t>Schutterij Eendracht Maakt Macht Groessen</t>
  </si>
  <si>
    <t>1975</t>
  </si>
  <si>
    <t>3013</t>
  </si>
  <si>
    <t>St. Johannes Zeddam</t>
  </si>
  <si>
    <t>We lopen samen met schutterij St. Martinus Braamt.
Kan niet alle majorettes opgeven,
zij hebben nog een duo 5 en een Solo 1 senior en Solo 2 junior, waar kan ik deze invullen?</t>
  </si>
  <si>
    <t>Team1,Team2,Team3,Ensemble1,Duo1,Duo2,Duo3,Duo4</t>
  </si>
  <si>
    <t>Sectie A,Sectie A,Sectie A,Sectie A,Sectie A,Sectie A,Sectie A,Sectie A</t>
  </si>
  <si>
    <t>Senior,Senior,Jeugd3,Senior,Senior,Junior,Junior,Jeugd3</t>
  </si>
  <si>
    <t>4012</t>
  </si>
  <si>
    <t>Schuttersvereniging Willem Tell Silvolde</t>
  </si>
  <si>
    <t>Groep1,Ensemble1,Ensemble2,Duo1,Duo2,Duo3,Duo4,</t>
  </si>
  <si>
    <t>Sectie A,Sectie A,Sectie A,Sectie A,Sectie A,Sectie A,Sectie A,</t>
  </si>
  <si>
    <t>Junior,Junior,Jeugd3,Junior,Junior,Jeugd3,Jeugd3,</t>
  </si>
  <si>
    <t>1006</t>
  </si>
  <si>
    <t>Schutterij B.U.B. Beek-Ubbergen</t>
  </si>
  <si>
    <t>het aantal kan nog variëren ; zodra de aantallen bekend zijn geef ik het door. Ook qua jeugdschieren weet ik nog geen aantallen; die gegevens volgen ook zodra ik ze binnen heb.</t>
  </si>
  <si>
    <t>Team1,Team2,Team3,</t>
  </si>
  <si>
    <t>Sectie A,Sectie A,Sectie A,</t>
  </si>
  <si>
    <t>Senior,Jeugd3,Jeugd2,</t>
  </si>
  <si>
    <t>De majorettes hebben nog een duo 5, solo1 senior en solo 2 junior, waar kan ik die invullen?</t>
  </si>
  <si>
    <t>aantallen zijn nog niet bekend-&gt; volgt later</t>
  </si>
  <si>
    <t>3011</t>
  </si>
  <si>
    <t>St. Jans Gilde Beek-Loerbeek</t>
  </si>
  <si>
    <t xml:space="preserve">  </t>
  </si>
  <si>
    <t xml:space="preserve">Team1 Team2 Team3 Ensemble1 Duo1 Duo2 Duo3 Duo4   </t>
  </si>
  <si>
    <t xml:space="preserve">Sectie A Sectie A Sectie A Sectie A Sectie A Sectie A Sectie A Sectie A   </t>
  </si>
  <si>
    <t xml:space="preserve">Senior Senior Jeugd3 Senior Senior Junior Junior Jeugd3   </t>
  </si>
  <si>
    <t xml:space="preserve">Team1 Team2 Team3 Ensemble3   </t>
  </si>
  <si>
    <t xml:space="preserve">Sectie A Sectie A Sectie A Sectie A   </t>
  </si>
  <si>
    <t xml:space="preserve">Jeugd2 Junior Senior Senior   </t>
  </si>
  <si>
    <t>Team1 Team2 Duo1</t>
  </si>
  <si>
    <t>Sectie D Sectie A Sectie A</t>
  </si>
  <si>
    <t>Jeugd1 Jeugd2 Jeugd3</t>
  </si>
  <si>
    <t xml:space="preserve">Team1 Team2 Team3 Groep1 Ensemble1  </t>
  </si>
  <si>
    <t xml:space="preserve">Sectie A Sectie A Sectie A Sectie A Sectie A  Sectie C  </t>
  </si>
  <si>
    <t xml:space="preserve">Jeugd2 Junior Senior Senior Jeugd3  </t>
  </si>
  <si>
    <t xml:space="preserve">Duo1 Ensemble1 Ensemble2 Team1   </t>
  </si>
  <si>
    <t xml:space="preserve">Jeugd1 Senior Senior Senior   </t>
  </si>
  <si>
    <t xml:space="preserve">Groep1  </t>
  </si>
  <si>
    <t xml:space="preserve">Sectie A  </t>
  </si>
  <si>
    <t xml:space="preserve">Jeugd1  </t>
  </si>
  <si>
    <t xml:space="preserve">Duo3 Groep1 Ensemble1 Team2   </t>
  </si>
  <si>
    <t xml:space="preserve">Sectie A Sectie A Sectie A Sectie C   </t>
  </si>
  <si>
    <t xml:space="preserve">Jeugd3 Jeugd1 Senior Senior   </t>
  </si>
  <si>
    <t xml:space="preserve">Sectie A Sectie A Sectie A Sectie A Sectie A  </t>
  </si>
  <si>
    <t>Groep1 Ensemble1 Ensemble2 Duo1 Duo2 Duo3 Duo4</t>
  </si>
  <si>
    <t>Sectie A Sectie A Sectie A Sectie A Sectie A Sectie A Sectie A</t>
  </si>
  <si>
    <t>Junior Junior Jeugd3 Junior Junior Jeugd3 Jeugd3</t>
  </si>
  <si>
    <t>Team1 Team2 Team3</t>
  </si>
  <si>
    <t>Sectie A Sectie A Sectie A</t>
  </si>
  <si>
    <t>Senior Jeugd3 Jeugd2</t>
  </si>
  <si>
    <t>Muziekvereniging moet nog beoordelen of deze datum kan is dus nog niet zeker of zij meekomen.</t>
  </si>
  <si>
    <t>Geachte lezer. Wij komen met een groep vendeliers vendelen en om te lopen met de mars en defilé . Het lukt me niet om de vragenlijst zo in te vullen dat alleen dat de uitkomst is. Mocht u vragen hebben dan mag u mij bellen of mailen. 06.53421940 m.rondeel22@gmail.com
Groet Martin Rondeel</t>
  </si>
  <si>
    <t>Hoi Tjebbe, ik zie dat je de jeudgleden qua schieten nog niet de namen kunt invullen? Die gaat nog wel gebeuren voor het concours? Puur even als opmerking voor nu. Majorettes doen wij wel mee aan de wedstrijden deze vul ik voor 31 december nog in.</t>
  </si>
  <si>
    <t>Dit concours organiseren we zelf. We willen de mars- en defiléwedstrijden zelf openen maar willen niet gejureerd worden.</t>
  </si>
  <si>
    <t>We lopen samen met schutterij St. Martinus Braamt. Kan niet alle majorettes opgeven zij hebben nog een duo 5 en een Solo 1 senior en Solo 2 junior waar kan ik deze invullen?</t>
  </si>
  <si>
    <t>80 deelnemers is incl. muziek. Aangezien wij zelf de organisatie hebben zijn een hoop leden al op de wedstrijd locatie bezig met de voorbereidingen</t>
  </si>
  <si>
    <t>Bij controle bleken er gegevens verdwenen (o.a. deelname vendelwedstrijden. ik ben er zeker van dat die wel ingevuld waren.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</si>
</sst>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sz val="8"/>
      <name val="Calibri"/>
      <family val="2"/>
      <scheme val="minor"/>
    </font>
    <font>
      <sz val="11"/>
      <color theme="0"/>
      <name val="Calibri"/>
      <family val="2"/>
      <scheme val="minor"/>
    </font>
    <font>
      <sz val="11"/>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8"/>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4"/>
      <color theme="1"/>
      <name val="Calibri"/>
      <family val="2"/>
      <scheme val="minor"/>
    </font>
    <font>
      <b/>
      <sz val="11"/>
      <color rgb="FF000000"/>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double">
        <color rgb="FF70AD47"/>
      </top>
      <bottom style="thin">
        <color rgb="FFA9D08E"/>
      </bottom>
      <diagonal/>
    </border>
  </borders>
  <cellStyleXfs count="2">
    <xf numFmtId="0" fontId="0" fillId="0" borderId="0"/>
    <xf numFmtId="0" fontId="7" fillId="0" borderId="0"/>
  </cellStyleXfs>
  <cellXfs count="174">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right" vertical="top" textRotation="90"/>
    </xf>
    <xf numFmtId="0" fontId="4" fillId="0" borderId="0" xfId="0" applyFont="1" applyAlignment="1">
      <alignment horizontal="center" vertical="top" textRotation="90"/>
    </xf>
    <xf numFmtId="0" fontId="4" fillId="0" borderId="0" xfId="0" applyFont="1" applyAlignment="1">
      <alignment horizontal="center"/>
    </xf>
    <xf numFmtId="0" fontId="4" fillId="0" borderId="0" xfId="0" applyFont="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3" xfId="0" applyFont="1" applyBorder="1" applyAlignment="1">
      <alignment horizontal="center" vertical="top" textRotation="90"/>
    </xf>
    <xf numFmtId="0" fontId="4" fillId="0" borderId="5" xfId="0" applyFont="1" applyBorder="1" applyAlignment="1">
      <alignment horizontal="center" vertical="top" textRotation="90"/>
    </xf>
    <xf numFmtId="0" fontId="4" fillId="0" borderId="4" xfId="0" applyFont="1" applyBorder="1" applyAlignment="1">
      <alignment horizontal="center" vertical="top" textRotation="90"/>
    </xf>
    <xf numFmtId="0" fontId="3" fillId="0" borderId="5" xfId="0" applyFont="1" applyBorder="1" applyAlignment="1">
      <alignment horizontal="center" vertical="top" textRotation="90"/>
    </xf>
    <xf numFmtId="0" fontId="3" fillId="0" borderId="4" xfId="0" applyFont="1" applyBorder="1" applyAlignment="1">
      <alignment horizontal="center" vertical="top" textRotation="90"/>
    </xf>
    <xf numFmtId="0" fontId="4" fillId="0" borderId="2" xfId="0" applyFont="1" applyBorder="1" applyAlignment="1">
      <alignment horizontal="center" vertical="top" textRotation="90"/>
    </xf>
    <xf numFmtId="0" fontId="0" fillId="0" borderId="14" xfId="0" applyBorder="1"/>
    <xf numFmtId="0" fontId="0" fillId="0" borderId="14" xfId="0" applyBorder="1" applyAlignment="1">
      <alignment horizontal="center"/>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11" xfId="0" applyFont="1" applyFill="1" applyBorder="1" applyAlignment="1">
      <alignment horizontal="center" vertical="top"/>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0" borderId="14" xfId="0" applyFont="1" applyBorder="1"/>
    <xf numFmtId="0" fontId="5" fillId="0" borderId="14" xfId="0" applyFont="1" applyBorder="1" applyAlignment="1">
      <alignment horizontal="center"/>
    </xf>
    <xf numFmtId="0" fontId="6" fillId="0" borderId="14" xfId="0" applyFont="1" applyBorder="1" applyAlignment="1">
      <alignment horizontal="center"/>
    </xf>
    <xf numFmtId="0" fontId="5" fillId="0" borderId="15" xfId="0" applyFont="1" applyBorder="1" applyAlignment="1">
      <alignment horizontal="center"/>
    </xf>
    <xf numFmtId="0" fontId="5" fillId="0" borderId="0" xfId="0" applyFont="1"/>
    <xf numFmtId="0" fontId="0" fillId="0" borderId="0" xfId="0" applyAlignment="1">
      <alignment horizontal="center" vertical="top"/>
    </xf>
    <xf numFmtId="0" fontId="5" fillId="0" borderId="0" xfId="0" applyFont="1" applyAlignment="1">
      <alignment horizontal="center" vertical="top"/>
    </xf>
    <xf numFmtId="0" fontId="8" fillId="0" borderId="0" xfId="1" applyFont="1" applyAlignment="1">
      <alignment horizontal="left" vertical="top"/>
    </xf>
    <xf numFmtId="0" fontId="7" fillId="0" borderId="0" xfId="1"/>
    <xf numFmtId="0" fontId="8" fillId="0" borderId="0" xfId="1" applyFont="1" applyAlignment="1">
      <alignment vertical="top"/>
    </xf>
    <xf numFmtId="0" fontId="8" fillId="0" borderId="8" xfId="1" applyFont="1" applyBorder="1" applyAlignment="1">
      <alignment horizontal="left" vertical="top"/>
    </xf>
    <xf numFmtId="0" fontId="8" fillId="0" borderId="9" xfId="1" applyFont="1" applyBorder="1" applyAlignment="1">
      <alignment horizontal="left" vertical="top"/>
    </xf>
    <xf numFmtId="0" fontId="8" fillId="0" borderId="10" xfId="1" applyFont="1" applyBorder="1" applyAlignment="1">
      <alignment horizontal="left" vertical="top"/>
    </xf>
    <xf numFmtId="0" fontId="8" fillId="0" borderId="6" xfId="1" applyFont="1" applyBorder="1" applyAlignment="1">
      <alignment horizontal="left" vertical="top"/>
    </xf>
    <xf numFmtId="0" fontId="8" fillId="0" borderId="7" xfId="1" applyFont="1" applyBorder="1" applyAlignment="1">
      <alignment horizontal="left" vertical="top"/>
    </xf>
    <xf numFmtId="0" fontId="8" fillId="0" borderId="11" xfId="1" applyFont="1" applyBorder="1" applyAlignment="1">
      <alignment horizontal="left" vertical="top"/>
    </xf>
    <xf numFmtId="0" fontId="10" fillId="0" borderId="12" xfId="1" applyFont="1" applyBorder="1"/>
    <xf numFmtId="0" fontId="10" fillId="0" borderId="8" xfId="1" applyFont="1" applyBorder="1"/>
    <xf numFmtId="0" fontId="10" fillId="0" borderId="12" xfId="1" applyFont="1" applyBorder="1" applyAlignment="1">
      <alignment wrapText="1"/>
    </xf>
    <xf numFmtId="0" fontId="10" fillId="0" borderId="0" xfId="1" applyFont="1"/>
    <xf numFmtId="0" fontId="9" fillId="0" borderId="0" xfId="0" applyFont="1" applyAlignment="1">
      <alignment horizontal="center"/>
    </xf>
    <xf numFmtId="0" fontId="11" fillId="2" borderId="1" xfId="0" applyFont="1" applyFill="1" applyBorder="1"/>
    <xf numFmtId="0" fontId="11" fillId="2" borderId="1" xfId="0" applyFont="1" applyFill="1" applyBorder="1" applyAlignment="1">
      <alignment horizontal="center" wrapText="1"/>
    </xf>
    <xf numFmtId="0" fontId="4" fillId="0" borderId="8" xfId="0" applyFont="1" applyBorder="1" applyAlignment="1">
      <alignment vertical="top"/>
    </xf>
    <xf numFmtId="0" fontId="4" fillId="0" borderId="10" xfId="0" applyFont="1" applyBorder="1" applyAlignment="1">
      <alignment vertical="top"/>
    </xf>
    <xf numFmtId="0" fontId="4" fillId="0" borderId="9" xfId="0" applyFont="1" applyBorder="1" applyAlignment="1">
      <alignment horizontal="center" vertical="top" textRotation="90"/>
    </xf>
    <xf numFmtId="0" fontId="4" fillId="0" borderId="10" xfId="0" applyFont="1" applyBorder="1" applyAlignment="1">
      <alignment horizontal="center" vertical="top" textRotation="90"/>
    </xf>
    <xf numFmtId="0" fontId="4" fillId="0" borderId="8" xfId="0" applyFont="1" applyBorder="1" applyAlignment="1">
      <alignment horizontal="center" vertical="top" textRotation="90"/>
    </xf>
    <xf numFmtId="0" fontId="3" fillId="0" borderId="9" xfId="0" applyFont="1" applyBorder="1" applyAlignment="1">
      <alignment horizontal="center" vertical="top" textRotation="90"/>
    </xf>
    <xf numFmtId="0" fontId="3" fillId="0" borderId="10" xfId="0" applyFont="1" applyBorder="1" applyAlignment="1">
      <alignment horizontal="center" vertical="top" textRotation="90"/>
    </xf>
    <xf numFmtId="0" fontId="4" fillId="0" borderId="12" xfId="0" applyFont="1" applyBorder="1" applyAlignment="1">
      <alignment horizontal="center" vertical="top" textRotation="90"/>
    </xf>
    <xf numFmtId="22" fontId="0" fillId="0" borderId="14" xfId="0" applyNumberFormat="1" applyBorder="1"/>
    <xf numFmtId="0" fontId="0" fillId="0" borderId="14" xfId="0" applyBorder="1" applyAlignment="1">
      <alignment wrapText="1"/>
    </xf>
    <xf numFmtId="0" fontId="0" fillId="0" borderId="0" xfId="0" applyAlignment="1">
      <alignment wrapText="1"/>
    </xf>
    <xf numFmtId="0" fontId="5" fillId="2" borderId="7" xfId="0" applyFont="1" applyFill="1" applyBorder="1" applyAlignment="1">
      <alignment horizontal="center" wrapText="1"/>
    </xf>
    <xf numFmtId="0" fontId="0" fillId="0" borderId="0" xfId="0" applyAlignment="1">
      <alignment horizontal="center" wrapText="1"/>
    </xf>
    <xf numFmtId="0" fontId="4" fillId="0" borderId="9" xfId="0" applyFont="1" applyBorder="1" applyAlignment="1">
      <alignment wrapText="1"/>
    </xf>
    <xf numFmtId="0" fontId="5" fillId="0" borderId="16" xfId="0" applyFont="1" applyBorder="1" applyAlignment="1">
      <alignment wrapText="1"/>
    </xf>
    <xf numFmtId="0" fontId="8" fillId="0" borderId="0" xfId="1" applyFont="1" applyAlignment="1">
      <alignment horizontal="left" vertical="top" wrapText="1"/>
    </xf>
    <xf numFmtId="0" fontId="8" fillId="0" borderId="8" xfId="1" applyFont="1" applyBorder="1" applyAlignment="1">
      <alignment vertical="top" wrapText="1"/>
    </xf>
    <xf numFmtId="0" fontId="8" fillId="0" borderId="6" xfId="1" applyFont="1" applyBorder="1" applyAlignment="1">
      <alignment vertical="top" wrapText="1"/>
    </xf>
    <xf numFmtId="0" fontId="7" fillId="0" borderId="0" xfId="1" applyAlignment="1">
      <alignment wrapText="1"/>
    </xf>
    <xf numFmtId="0" fontId="0" fillId="0" borderId="0" xfId="0" applyAlignment="1">
      <alignment horizontal="left"/>
    </xf>
    <xf numFmtId="1" fontId="0" fillId="0" borderId="0" xfId="0" applyNumberFormat="1"/>
    <xf numFmtId="0" fontId="12" fillId="0" borderId="0" xfId="0" applyFont="1" applyAlignment="1">
      <alignment horizontal="center" vertical="center"/>
    </xf>
    <xf numFmtId="0" fontId="12" fillId="0" borderId="0" xfId="0" applyFont="1" applyAlignment="1">
      <alignment horizontal="center"/>
    </xf>
    <xf numFmtId="0" fontId="5" fillId="2" borderId="0" xfId="0" applyFont="1" applyFill="1" applyAlignment="1">
      <alignment horizontal="center" vertical="top"/>
    </xf>
    <xf numFmtId="0" fontId="5" fillId="0" borderId="0" xfId="0" applyFont="1" applyAlignment="1">
      <alignment horizontal="center"/>
    </xf>
    <xf numFmtId="0" fontId="8" fillId="0" borderId="0" xfId="1" applyFont="1" applyAlignment="1">
      <alignment horizontal="center" vertical="top"/>
    </xf>
    <xf numFmtId="0" fontId="4" fillId="0" borderId="2" xfId="0" applyFont="1" applyBorder="1" applyAlignment="1">
      <alignment vertical="top"/>
    </xf>
    <xf numFmtId="0" fontId="4" fillId="0" borderId="3" xfId="0" applyFont="1" applyBorder="1" applyAlignment="1">
      <alignment horizontal="right" vertical="top" textRotation="90"/>
    </xf>
    <xf numFmtId="1" fontId="0" fillId="0" borderId="0" xfId="0" applyNumberFormat="1" applyAlignment="1">
      <alignment horizontal="center"/>
    </xf>
    <xf numFmtId="0" fontId="5" fillId="3" borderId="0" xfId="0" applyFont="1" applyFill="1" applyAlignment="1">
      <alignment horizontal="center" vertical="top"/>
    </xf>
    <xf numFmtId="0" fontId="11" fillId="2" borderId="0" xfId="0" applyFont="1" applyFill="1"/>
    <xf numFmtId="0" fontId="8" fillId="0" borderId="9" xfId="1" applyFont="1" applyBorder="1" applyAlignment="1">
      <alignment vertical="top" wrapText="1"/>
    </xf>
    <xf numFmtId="0" fontId="8" fillId="0" borderId="7" xfId="1" applyFont="1" applyBorder="1" applyAlignment="1">
      <alignment vertical="top" wrapText="1"/>
    </xf>
    <xf numFmtId="0" fontId="0" fillId="0" borderId="0" xfId="0" applyAlignment="1">
      <alignment horizontal="center" vertical="center"/>
    </xf>
    <xf numFmtId="22" fontId="0" fillId="0" borderId="0" xfId="0" applyNumberFormat="1"/>
    <xf numFmtId="0" fontId="5" fillId="2" borderId="3" xfId="0" applyFont="1" applyFill="1" applyBorder="1"/>
    <xf numFmtId="0" fontId="5" fillId="2" borderId="5" xfId="0" applyFont="1" applyFill="1" applyBorder="1"/>
    <xf numFmtId="0" fontId="5" fillId="2" borderId="4" xfId="0" applyFont="1" applyFill="1" applyBorder="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0" fillId="0" borderId="5" xfId="0" applyBorder="1" applyAlignment="1">
      <alignment vertical="top" textRotation="90"/>
    </xf>
    <xf numFmtId="0" fontId="5" fillId="2" borderId="8" xfId="0" applyFont="1" applyFill="1" applyBorder="1" applyAlignment="1">
      <alignment vertical="top"/>
    </xf>
    <xf numFmtId="0" fontId="5" fillId="2" borderId="9" xfId="0" applyFont="1" applyFill="1" applyBorder="1" applyAlignment="1">
      <alignment vertical="top"/>
    </xf>
    <xf numFmtId="0" fontId="5" fillId="2" borderId="10" xfId="0" applyFont="1" applyFill="1" applyBorder="1" applyAlignment="1">
      <alignment vertical="top"/>
    </xf>
    <xf numFmtId="0" fontId="4" fillId="0" borderId="5" xfId="0" applyFont="1" applyBorder="1" applyAlignment="1">
      <alignment vertical="top" wrapText="1"/>
    </xf>
    <xf numFmtId="0" fontId="5" fillId="2" borderId="7" xfId="0" applyFont="1" applyFill="1" applyBorder="1"/>
    <xf numFmtId="0" fontId="5" fillId="2" borderId="11" xfId="0" applyFont="1" applyFill="1" applyBorder="1"/>
    <xf numFmtId="0" fontId="0" fillId="0" borderId="4" xfId="0" applyBorder="1" applyAlignment="1">
      <alignment vertical="top" textRotation="90"/>
    </xf>
    <xf numFmtId="22" fontId="0" fillId="0" borderId="0" xfId="0" applyNumberFormat="1" applyAlignment="1">
      <alignment horizontal="center"/>
    </xf>
    <xf numFmtId="14" fontId="0" fillId="0" borderId="0" xfId="0" applyNumberFormat="1"/>
    <xf numFmtId="49" fontId="4" fillId="0" borderId="0" xfId="0" applyNumberFormat="1" applyFont="1" applyAlignment="1">
      <alignment horizontal="center"/>
    </xf>
    <xf numFmtId="0" fontId="5" fillId="2" borderId="5" xfId="0" applyFont="1" applyFill="1" applyBorder="1" applyAlignment="1">
      <alignment vertical="center"/>
    </xf>
    <xf numFmtId="0" fontId="5" fillId="2" borderId="4" xfId="0" applyFont="1" applyFill="1" applyBorder="1" applyAlignment="1">
      <alignment vertical="center"/>
    </xf>
    <xf numFmtId="0" fontId="4" fillId="0" borderId="5" xfId="0" applyFont="1" applyBorder="1" applyAlignment="1">
      <alignment horizontal="left" vertical="top" wrapText="1"/>
    </xf>
    <xf numFmtId="0" fontId="5" fillId="2" borderId="7" xfId="0" applyFont="1" applyFill="1" applyBorder="1" applyAlignment="1">
      <alignment horizontal="left" wrapText="1"/>
    </xf>
    <xf numFmtId="0" fontId="4" fillId="0" borderId="5" xfId="0" applyFont="1" applyBorder="1" applyAlignment="1">
      <alignment horizontal="left" wrapText="1"/>
    </xf>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vertical="top"/>
    </xf>
    <xf numFmtId="0" fontId="5" fillId="2" borderId="10" xfId="0" applyFont="1" applyFill="1" applyBorder="1" applyAlignment="1">
      <alignment horizontal="center" vertical="top"/>
    </xf>
    <xf numFmtId="0" fontId="10" fillId="0" borderId="1" xfId="1" applyFont="1" applyBorder="1" applyAlignment="1">
      <alignment textRotation="90" wrapText="1"/>
    </xf>
    <xf numFmtId="0" fontId="10" fillId="0" borderId="9" xfId="1" applyFont="1" applyBorder="1" applyAlignment="1">
      <alignment textRotation="90"/>
    </xf>
    <xf numFmtId="0" fontId="10" fillId="0" borderId="10" xfId="1" applyFont="1" applyBorder="1" applyAlignment="1">
      <alignment textRotation="90"/>
    </xf>
    <xf numFmtId="0" fontId="10" fillId="0" borderId="1" xfId="1" applyFont="1" applyBorder="1" applyAlignment="1">
      <alignment horizontal="center" textRotation="90" wrapText="1"/>
    </xf>
    <xf numFmtId="0" fontId="4" fillId="0" borderId="1" xfId="0" applyFont="1" applyBorder="1" applyAlignment="1">
      <alignment horizontal="center" textRotation="90" wrapText="1"/>
    </xf>
    <xf numFmtId="0" fontId="13" fillId="0" borderId="25" xfId="0" applyFont="1" applyBorder="1" applyAlignment="1">
      <alignment horizontal="center"/>
    </xf>
    <xf numFmtId="0" fontId="0" fillId="0" borderId="4" xfId="0" applyBorder="1" applyAlignment="1">
      <alignment horizontal="center" vertical="top" textRotation="90"/>
    </xf>
    <xf numFmtId="0" fontId="5" fillId="2" borderId="6" xfId="0" applyFont="1" applyFill="1" applyBorder="1"/>
    <xf numFmtId="0" fontId="0" fillId="0" borderId="5" xfId="0" applyBorder="1" applyAlignment="1">
      <alignment horizontal="center" vertical="top" textRotation="90"/>
    </xf>
    <xf numFmtId="0" fontId="5" fillId="2" borderId="10" xfId="0" applyFont="1" applyFill="1" applyBorder="1" applyAlignment="1">
      <alignment horizontal="left"/>
    </xf>
    <xf numFmtId="0" fontId="5" fillId="2" borderId="11" xfId="0" applyFont="1" applyFill="1" applyBorder="1" applyAlignment="1">
      <alignment horizontal="left"/>
    </xf>
    <xf numFmtId="0" fontId="4" fillId="0" borderId="4" xfId="0" applyFont="1" applyBorder="1" applyAlignment="1">
      <alignment horizontal="left" vertical="top"/>
    </xf>
    <xf numFmtId="0" fontId="5" fillId="0" borderId="0" xfId="0" applyFont="1" applyAlignment="1">
      <alignment horizontal="left"/>
    </xf>
    <xf numFmtId="0" fontId="0" fillId="0" borderId="0" xfId="0" applyAlignment="1">
      <alignment horizontal="right"/>
    </xf>
    <xf numFmtId="0" fontId="0" fillId="0" borderId="0" xfId="0" applyAlignment="1">
      <alignment horizontal="left" wrapText="1"/>
    </xf>
    <xf numFmtId="0" fontId="1" fillId="0" borderId="14" xfId="0" applyFont="1" applyBorder="1"/>
    <xf numFmtId="0" fontId="1" fillId="0" borderId="14" xfId="0" applyFont="1" applyBorder="1" applyAlignment="1">
      <alignment horizontal="center"/>
    </xf>
    <xf numFmtId="0" fontId="1" fillId="0" borderId="14" xfId="0" applyFont="1" applyBorder="1" applyAlignment="1">
      <alignment wrapText="1"/>
    </xf>
    <xf numFmtId="22" fontId="7" fillId="0" borderId="14" xfId="1" applyNumberFormat="1" applyBorder="1"/>
    <xf numFmtId="0" fontId="7" fillId="0" borderId="14" xfId="1" applyBorder="1"/>
    <xf numFmtId="0" fontId="7" fillId="0" borderId="14" xfId="1" applyBorder="1" applyAlignment="1">
      <alignment horizontal="center"/>
    </xf>
    <xf numFmtId="0" fontId="7" fillId="0" borderId="0" xfId="1" applyAlignment="1">
      <alignment horizontal="center" vertical="center"/>
    </xf>
    <xf numFmtId="0" fontId="7" fillId="0" borderId="14" xfId="1" applyBorder="1" applyAlignment="1">
      <alignment wrapText="1"/>
    </xf>
    <xf numFmtId="22" fontId="7" fillId="0" borderId="0" xfId="1" applyNumberFormat="1"/>
    <xf numFmtId="0" fontId="4" fillId="0" borderId="0" xfId="0" applyFont="1" applyAlignment="1">
      <alignment horizontal="center" textRotation="90"/>
    </xf>
    <xf numFmtId="0" fontId="5" fillId="2" borderId="0" xfId="0" applyFont="1" applyFill="1" applyAlignment="1">
      <alignment horizontal="center" vertical="center"/>
    </xf>
    <xf numFmtId="0" fontId="5" fillId="2" borderId="0" xfId="0" applyFont="1" applyFill="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xf>
    <xf numFmtId="0" fontId="12" fillId="0" borderId="0" xfId="0" applyFont="1" applyAlignment="1">
      <alignment horizont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5" fillId="2" borderId="10" xfId="0" applyFont="1" applyFill="1" applyBorder="1" applyAlignment="1">
      <alignment horizontal="center" vertical="top"/>
    </xf>
    <xf numFmtId="0" fontId="8" fillId="0" borderId="23" xfId="1" applyFont="1" applyBorder="1" applyAlignment="1">
      <alignment horizontal="center" vertical="top"/>
    </xf>
    <xf numFmtId="0" fontId="8" fillId="0" borderId="0" xfId="1" applyFont="1" applyAlignment="1">
      <alignment horizontal="center" vertical="top"/>
    </xf>
    <xf numFmtId="0" fontId="8" fillId="0" borderId="24" xfId="1" applyFont="1" applyBorder="1" applyAlignment="1">
      <alignment horizontal="center" vertical="top"/>
    </xf>
    <xf numFmtId="0" fontId="8" fillId="0" borderId="6" xfId="1" applyFont="1" applyBorder="1" applyAlignment="1">
      <alignment horizontal="center" vertical="top"/>
    </xf>
    <xf numFmtId="0" fontId="8" fillId="0" borderId="7" xfId="1" applyFont="1" applyBorder="1" applyAlignment="1">
      <alignment horizontal="center" vertical="top"/>
    </xf>
    <xf numFmtId="0" fontId="9" fillId="0" borderId="17" xfId="1" applyFont="1" applyBorder="1" applyAlignment="1">
      <alignment horizontal="center" vertical="top"/>
    </xf>
    <xf numFmtId="0" fontId="9" fillId="0" borderId="18" xfId="1" applyFont="1" applyBorder="1" applyAlignment="1">
      <alignment horizontal="center" vertical="top"/>
    </xf>
    <xf numFmtId="0" fontId="9" fillId="0" borderId="19" xfId="1" applyFont="1" applyBorder="1" applyAlignment="1">
      <alignment horizontal="center" vertical="top"/>
    </xf>
    <xf numFmtId="0" fontId="8" fillId="0" borderId="17" xfId="1" applyFont="1" applyBorder="1" applyAlignment="1">
      <alignment horizontal="center" vertical="top"/>
    </xf>
    <xf numFmtId="0" fontId="8" fillId="0" borderId="18" xfId="1" applyFont="1" applyBorder="1" applyAlignment="1">
      <alignment horizontal="center" vertical="top"/>
    </xf>
    <xf numFmtId="0" fontId="8" fillId="0" borderId="20" xfId="1" applyFont="1" applyBorder="1" applyAlignment="1">
      <alignment horizontal="center" vertical="top"/>
    </xf>
    <xf numFmtId="0" fontId="8" fillId="0" borderId="21" xfId="1" applyFont="1" applyBorder="1" applyAlignment="1">
      <alignment horizontal="center" vertical="top"/>
    </xf>
    <xf numFmtId="0" fontId="8" fillId="0" borderId="22" xfId="1" applyFont="1" applyBorder="1" applyAlignment="1">
      <alignment horizontal="center" vertical="top"/>
    </xf>
    <xf numFmtId="0" fontId="8" fillId="0" borderId="0" xfId="0" applyFont="1" applyAlignment="1">
      <alignment horizontal="center"/>
    </xf>
    <xf numFmtId="0" fontId="9" fillId="0" borderId="0" xfId="0" applyFont="1" applyAlignment="1">
      <alignment horizontal="center"/>
    </xf>
  </cellXfs>
  <cellStyles count="2">
    <cellStyle name="Standaard" xfId="0" builtinId="0"/>
    <cellStyle name="Standaard 2" xfId="1" xr:uid="{F19B0B72-0ABE-41BD-B88E-C05ECC626655}"/>
  </cellStyles>
  <dxfs count="88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27" formatCode="dd/mm/yyyy\ hh:mm"/>
    </dxf>
    <dxf>
      <border diagonalUp="0" diagonalDown="0" outline="0">
        <left style="thin">
          <color indexed="64"/>
        </left>
        <right style="thin">
          <color indexed="64"/>
        </right>
        <top/>
        <bottom/>
      </border>
    </dxf>
    <dxf>
      <numFmt numFmtId="27" formatCode="dd/mm/yyyy\ hh:mm"/>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font>
        <strike val="0"/>
        <outline val="0"/>
        <shadow val="0"/>
        <u val="none"/>
        <vertAlign val="baseline"/>
        <sz val="11"/>
        <color auto="1"/>
        <name val="Calibri"/>
        <family val="2"/>
        <scheme val="minor"/>
      </font>
    </dxf>
    <dxf>
      <numFmt numFmtId="27" formatCode="dd/mm/yyyy\ hh:mm"/>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numFmt numFmtId="0" formatCode="General"/>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numFmt numFmtId="27" formatCode="dd/mm/yyyy\ hh:mm"/>
      <fill>
        <patternFill patternType="none">
          <fgColor indexed="64"/>
          <bgColor indexed="65"/>
        </patternFill>
      </fill>
      <border diagonalUp="0" diagonalDown="0">
        <left style="thin">
          <color indexed="64"/>
        </left>
        <right style="thin">
          <color indexed="64"/>
        </right>
        <top/>
        <bottom/>
        <vertical/>
        <horizontal/>
      </border>
    </dxf>
    <dxf>
      <numFmt numFmtId="0" formatCode="General"/>
    </dxf>
    <dxf>
      <font>
        <strike val="0"/>
        <outline val="0"/>
        <shadow val="0"/>
        <u val="none"/>
        <vertAlign val="baseline"/>
        <sz val="12"/>
        <color auto="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27" formatCode="dd/mm/yyyy\ hh:mm"/>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1" indent="0" justifyLastLine="0" shrinkToFit="0" readingOrder="0"/>
    </dxf>
    <dxf>
      <numFmt numFmtId="0" formatCode="General"/>
      <alignment horizontal="left" vertical="bottom" textRotation="0" wrapText="1"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27" formatCode="dd/mm/yyyy\ hh:mm"/>
    </dxf>
    <dxf>
      <numFmt numFmtId="27" formatCode="dd/mm/yyyy\ hh:mm"/>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0" formatCode="General"/>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center" vertical="bottom" textRotation="0" wrapText="0" indent="0" justifyLastLine="0" shrinkToFit="0" readingOrder="0"/>
    </dxf>
    <dxf>
      <numFmt numFmtId="0" formatCode="General"/>
    </dxf>
    <dxf>
      <alignment horizontal="center" vertical="center"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7" formatCode="dd/mm/yyyy\ hh:mm"/>
    </dxf>
    <dxf>
      <alignment horizontal="center" vertical="bottom" textRotation="0" wrapText="0" indent="0" justifyLastLine="0" shrinkToFit="0" readingOrder="0"/>
    </dxf>
    <dxf>
      <numFmt numFmtId="19" formatCode="dd/mm/yyyy"/>
    </dxf>
    <dxf>
      <alignment horizontal="center" vertical="bottom" textRotation="0" wrapText="0"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9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27" formatCode="dd/mm/yyyy\ hh:mm"/>
    </dxf>
    <dxf>
      <numFmt numFmtId="27" formatCode="dd/mm/yyyy\ hh:mm"/>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1"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0" xr16:uid="{6537445D-4453-4DB0-8316-9E9DEF947177}" autoFormatId="16" applyNumberFormats="0" applyBorderFormats="0" applyFontFormats="0" applyPatternFormats="0" applyAlignmentFormats="0" applyWidthHeightFormats="0">
  <queryTableRefresh nextId="122">
    <queryTableFields count="77">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10" name="Junioren korps 1" tableColumnId="10"/>
      <queryTableField id="111" name="Junioren korps 2" tableColumnId="11"/>
      <queryTableField id="112" name="Aspiranten korps 1" tableColumnId="26"/>
      <queryTableField id="113"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8" name="Groepen, teams, ensembles en duo's" tableColumnId="31"/>
      <queryTableField id="27" name="Senioren" tableColumnId="27"/>
      <queryTableField id="79" name="Jong volwassene" tableColumnId="32"/>
      <queryTableField id="28" name="Junioren" tableColumnId="28"/>
      <queryTableField id="29" name="Aspiranten" tableColumnId="29"/>
      <queryTableField id="80" name="Opgegeven senioren" tableColumnId="35"/>
      <queryTableField id="81" name="Opgegeven jong volwassene" tableColumnId="37"/>
      <queryTableField id="82" name="Opgegeven junioren" tableColumnId="39"/>
      <queryTableField id="83" name="Opgegeven aspiranten" tableColumnId="41"/>
      <queryTableField id="33" name="Marketentsters" tableColumnId="33"/>
      <queryTableField id="34" name="Luchtgeweer" tableColumnId="34"/>
      <queryTableField id="84" name="Aantal luchtgeweerschutters" tableColumnId="42"/>
      <queryTableField id="36" name="Luchtpistool" tableColumnId="36"/>
      <queryTableField id="85" name="Aantal luchtpistoolschutters" tableColumnId="43"/>
      <queryTableField id="40" name="Handboog" tableColumnId="40"/>
      <queryTableField id="86" name="Aantal handboogschutters" tableColumnId="44"/>
      <queryTableField id="38" name="Kruisboog" tableColumnId="38"/>
      <queryTableField id="87" name="Aantal kruisboogschutters" tableColumnId="71"/>
      <queryTableField id="88" name="Luchtgeweer jeugd niet ouder dan 17 jaar." tableColumnId="72"/>
      <queryTableField id="89" name="Aantal korpsen" tableColumnId="73"/>
      <queryTableField id="90"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1"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 id="120" name="Column1" tableColumnId="78"/>
      <queryTableField id="121" name="_332" tableColumnId="79"/>
    </queryTableFields>
    <queryTableDeletedFields count="2">
      <deletedField name="(HB) Berekend aantal opgegeven handboog schutters_272"/>
      <deletedField name="(LGJ) aantal jeugdkorpsen luchtgeweer in het profiel"/>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8" xr16:uid="{4116548B-C241-4E1D-B8B2-958C0EBF0029}" autoFormatId="16" applyNumberFormats="0" applyBorderFormats="0" applyFontFormats="0" applyPatternFormats="0" applyAlignmentFormats="0" applyWidthHeightFormats="0">
  <queryTableRefresh nextId="137">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20" name="Junioren korps 1" tableColumnId="10"/>
      <queryTableField id="121" name="Junioren korps 2" tableColumnId="11"/>
      <queryTableField id="122" name="Aspiranten korps 1" tableColumnId="26"/>
      <queryTableField id="123"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80" name="Groepen, teams, ensembles en duo's" tableColumnId="31"/>
      <queryTableField id="27" name="Senioren" tableColumnId="27"/>
      <queryTableField id="81" name="Jong volwassene" tableColumnId="32"/>
      <queryTableField id="28" name="Junioren" tableColumnId="28"/>
      <queryTableField id="29" name="Aspiranten" tableColumnId="29"/>
      <queryTableField id="82" name="Opgegeven senioren" tableColumnId="35"/>
      <queryTableField id="83" name="Opgegeven jong volwassene" tableColumnId="37"/>
      <queryTableField id="84" name="Opgegeven junioren" tableColumnId="39"/>
      <queryTableField id="85" name="Opgegeven aspiranten" tableColumnId="41"/>
      <queryTableField id="33" name="Marketentsters" tableColumnId="33"/>
      <queryTableField id="34" name="Luchtgeweer" tableColumnId="34"/>
      <queryTableField id="86" name="Aantal luchtgeweerschutters" tableColumnId="42"/>
      <queryTableField id="36" name="Luchtpistool" tableColumnId="36"/>
      <queryTableField id="87" name="Aantal luchtpistoolschutters" tableColumnId="43"/>
      <queryTableField id="40" name="Handboog" tableColumnId="40"/>
      <queryTableField id="88" name="Aantal handboogschutters" tableColumnId="44"/>
      <queryTableField id="38" name="Kruisboog" tableColumnId="38"/>
      <queryTableField id="89" name="Aantal kruisboogschutters" tableColumnId="71"/>
      <queryTableField id="90" name="Luchtgeweer jeugd niet ouder dan 17 jaar." tableColumnId="72"/>
      <queryTableField id="91" name="Aantal korpsen" tableColumnId="73"/>
      <queryTableField id="92"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3"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DeletedFields count="9">
      <deletedField name="_332"/>
      <deletedField name="_333"/>
      <deletedField name="_334"/>
      <deletedField name="_335"/>
      <deletedField name="_336"/>
      <deletedField name="_337"/>
      <deletedField name="_338"/>
      <deletedField name="_339"/>
      <deletedField name="_340"/>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7" xr16:uid="{5B19EFD5-E340-4CAD-A90F-3AF19A96AD11}" autoFormatId="16" applyNumberFormats="0" applyBorderFormats="0" applyFontFormats="0" applyPatternFormats="0" applyAlignmentFormats="0" applyWidthHeightFormats="0">
  <queryTableRefresh nextId="126">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18" name="Junioren korps 1" tableColumnId="10"/>
      <queryTableField id="119" name="Junioren korps 2" tableColumnId="11"/>
      <queryTableField id="120" name="Aspiranten korps 1" tableColumnId="26"/>
      <queryTableField id="121"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86" name="Groepen, teams, ensembles en duo's" tableColumnId="31"/>
      <queryTableField id="27" name="Senioren" tableColumnId="27"/>
      <queryTableField id="87" name="Jong volwassene" tableColumnId="32"/>
      <queryTableField id="28" name="Junioren" tableColumnId="28"/>
      <queryTableField id="29" name="Aspiranten" tableColumnId="29"/>
      <queryTableField id="88" name="Opgegeven senioren" tableColumnId="35"/>
      <queryTableField id="89" name="Opgegeven jong volwassene" tableColumnId="37"/>
      <queryTableField id="90" name="Opgegeven junioren" tableColumnId="39"/>
      <queryTableField id="91" name="Opgegeven aspiranten" tableColumnId="41"/>
      <queryTableField id="33" name="Marketentsters" tableColumnId="33"/>
      <queryTableField id="34" name="Luchtgeweer" tableColumnId="34"/>
      <queryTableField id="92" name="Aantal luchtgeweerschutters" tableColumnId="42"/>
      <queryTableField id="36" name="Luchtpistool" tableColumnId="36"/>
      <queryTableField id="93" name="Aantal luchtpistoolschutters" tableColumnId="43"/>
      <queryTableField id="40" name="Handboog" tableColumnId="40"/>
      <queryTableField id="94" name="Aantal handboogschutters" tableColumnId="44"/>
      <queryTableField id="38" name="Kruisboog" tableColumnId="38"/>
      <queryTableField id="95" name="Aantal kruisboogschutters" tableColumnId="71"/>
      <queryTableField id="96" name="Luchtgeweer jeugd niet ouder dan 17 jaar." tableColumnId="72"/>
      <queryTableField id="97" name="Aantal korpsen" tableColumnId="73"/>
      <queryTableField id="98"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9"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6" xr16:uid="{D0B5E214-FED8-4DC1-95B8-1899AE77FF69}" autoFormatId="16" applyNumberFormats="0" applyBorderFormats="0" applyFontFormats="0" applyPatternFormats="0" applyAlignmentFormats="0" applyWidthHeightFormats="0">
  <queryTableRefresh nextId="126">
    <queryTableFields count="76">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12" name="Junioren korps 1" tableColumnId="10"/>
      <queryTableField id="113" name="Junioren korps 2" tableColumnId="11"/>
      <queryTableField id="114" name="Aspiranten korps 1" tableColumnId="26"/>
      <queryTableField id="115"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80" name="Groepen, teams, ensembles en duo's" tableColumnId="31"/>
      <queryTableField id="27" name="Senioren" tableColumnId="27"/>
      <queryTableField id="81" name="Jong volwassene" tableColumnId="32"/>
      <queryTableField id="28" name="Junioren" tableColumnId="28"/>
      <queryTableField id="29" name="Aspiranten" tableColumnId="29"/>
      <queryTableField id="82" name="Opgegeven senioren" tableColumnId="35"/>
      <queryTableField id="83" name="Opgegeven jong volwassene" tableColumnId="37"/>
      <queryTableField id="84" name="Opgegeven junioren" tableColumnId="39"/>
      <queryTableField id="85" name="Opgegeven aspiranten" tableColumnId="41"/>
      <queryTableField id="33" name="Marketentsters" tableColumnId="33"/>
      <queryTableField id="34" name="Luchtgeweer" tableColumnId="34"/>
      <queryTableField id="86" name="Aantal luchtgeweerschutters" tableColumnId="42"/>
      <queryTableField id="36" name="Luchtpistool" tableColumnId="36"/>
      <queryTableField id="87" name="Aantal luchtpistoolschutters" tableColumnId="43"/>
      <queryTableField id="40" name="Handboog" tableColumnId="40"/>
      <queryTableField id="88" name="Aantal handboogschutters" tableColumnId="44"/>
      <queryTableField id="38" name="Kruisboog" tableColumnId="38"/>
      <queryTableField id="89" name="Aantal kruisboogschutters" tableColumnId="71"/>
      <queryTableField id="90" name="Luchtgeweer jeugd niet ouder dan 17 jaar." tableColumnId="72"/>
      <queryTableField id="91" name="Aantal korpsen" tableColumnId="73"/>
      <queryTableField id="92"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3"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 id="124" name="Column1" tableColumnId="78"/>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9" xr16:uid="{1774D010-A1C6-4AFF-A232-696AEE801FDB}" autoFormatId="16" applyNumberFormats="0" applyBorderFormats="0" applyFontFormats="0" applyPatternFormats="0" applyAlignmentFormats="0" applyWidthHeightFormats="0">
  <queryTableRefresh nextId="114">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06" name="Junioren korps 1" tableColumnId="10"/>
      <queryTableField id="107" name="Junioren korps 2" tableColumnId="11"/>
      <queryTableField id="108" name="Aspiranten korps 1" tableColumnId="26"/>
      <queryTableField id="109"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4" name="Groepen, teams, ensembles en duo's" tableColumnId="31"/>
      <queryTableField id="27" name="Senioren" tableColumnId="27"/>
      <queryTableField id="75" name="Jong volwassene" tableColumnId="32"/>
      <queryTableField id="28" name="Junioren" tableColumnId="28"/>
      <queryTableField id="29" name="Aspiranten" tableColumnId="29"/>
      <queryTableField id="76" name="Opgegeven senioren" tableColumnId="35"/>
      <queryTableField id="77" name="Opgegeven jong volwassene" tableColumnId="37"/>
      <queryTableField id="78" name="Opgegeven junioren" tableColumnId="39"/>
      <queryTableField id="79" name="Opgegeven aspiranten" tableColumnId="41"/>
      <queryTableField id="33" name="Marketentsters" tableColumnId="33"/>
      <queryTableField id="34" name="Luchtgeweer" tableColumnId="34"/>
      <queryTableField id="80" name="Aantal luchtgeweerschutters" tableColumnId="42"/>
      <queryTableField id="36" name="Luchtpistool" tableColumnId="36"/>
      <queryTableField id="81" name="Aantal luchtpistoolschutters" tableColumnId="43"/>
      <queryTableField id="40" name="Handboog" tableColumnId="40"/>
      <queryTableField id="82" name="Aantal handboogschutters" tableColumnId="44"/>
      <queryTableField id="38" name="Kruisboog" tableColumnId="38"/>
      <queryTableField id="83" name="Aantal kruisboogschutters" tableColumnId="71"/>
      <queryTableField id="84" name="Luchtgeweer jeugd niet ouder dan 17 jaar." tableColumnId="72"/>
      <queryTableField id="85" name="Aantal korpsen" tableColumnId="73"/>
      <queryTableField id="86"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87"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eGegevens_4" connectionId="11" xr16:uid="{E848E844-2661-4E26-B55F-7E83745BD4BB}" autoFormatId="16" applyNumberFormats="0" applyBorderFormats="0" applyFontFormats="0" applyPatternFormats="0" applyAlignmentFormats="0" applyWidthHeightFormats="0">
  <queryTableRefresh nextId="112">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04" name="Junioren korps 1" tableColumnId="10"/>
      <queryTableField id="105" name="Junioren korps 2" tableColumnId="11"/>
      <queryTableField id="106" name="Aspiranten korps 1" tableColumnId="26"/>
      <queryTableField id="107"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2" name="Groepen, teams, ensembles en duo's" tableColumnId="31"/>
      <queryTableField id="27" name="Senioren" tableColumnId="27"/>
      <queryTableField id="73" name="Jong volwassene" tableColumnId="32"/>
      <queryTableField id="28" name="Junioren" tableColumnId="28"/>
      <queryTableField id="29" name="Aspiranten" tableColumnId="29"/>
      <queryTableField id="74" name="Opgegeven senioren" tableColumnId="38"/>
      <queryTableField id="75" name="Opgegeven jong volwassene" tableColumnId="39"/>
      <queryTableField id="76" name="Opgegeven junioren" tableColumnId="66"/>
      <queryTableField id="77" name="Opgegeven aspiranten" tableColumnId="67"/>
      <queryTableField id="33" name="Marketentsters" tableColumnId="33"/>
      <queryTableField id="34" name="Luchtgeweer" tableColumnId="34"/>
      <queryTableField id="78" name="Aantal luchtgeweerschutters" tableColumnId="68"/>
      <queryTableField id="35" name="Luchtpistool" tableColumnId="35"/>
      <queryTableField id="79" name="Aantal luchtpistoolschutters" tableColumnId="69"/>
      <queryTableField id="37" name="Handboog" tableColumnId="37"/>
      <queryTableField id="80" name="Aantal handboogschutters" tableColumnId="70"/>
      <queryTableField id="36" name="Kruisboog" tableColumnId="36"/>
      <queryTableField id="81" name="Aantal kruisboogschutters" tableColumnId="71"/>
      <queryTableField id="82" name="Luchtgeweer jeugd niet ouder dan 17 jaar." tableColumnId="72"/>
      <queryTableField id="83" name="Aantal korpsen" tableColumnId="73"/>
      <queryTableField id="84" name="Opgegeven jeugdkorpsen LG" tableColumnId="74"/>
      <queryTableField id="40" name="Totaal aantal deelnemers" tableColumnId="40"/>
      <queryTableField id="41" name="Waarvan aantal jeugd (t/m 15 jaar)" tableColumnId="41"/>
      <queryTableField id="42" name="Kanon etc." tableColumnId="42"/>
      <queryTableField id="43" name="Paarden en/of koetsen" tableColumnId="43"/>
      <queryTableField id="44" name="Toelichting/opmerkingen" tableColumnId="44"/>
      <queryTableField id="45" name="Inzending-ID" tableColumnId="45"/>
      <queryTableField id="46" name="Inzenddatum" tableColumnId="46"/>
      <queryTableField id="85" name="Date Updated" tableColumnId="75"/>
      <queryTableField id="47" name="Naam van het hoofdkorps" tableColumnId="47"/>
      <queryTableField id="48" name="Zal op treden als (hoofdkorps)" tableColumnId="48"/>
      <queryTableField id="49" name="Vorm van twee muziekwerken (hoofdkorps)" tableColumnId="49"/>
      <queryTableField id="50" name="Zal uitkomen in de: (hoofdkorps)" tableColumnId="50"/>
      <queryTableField id="51" name="Muziekwerk1 (hoofdkorps)" tableColumnId="51"/>
      <queryTableField id="52" name="Muziekwerk2 (hoofdkorps)" tableColumnId="52"/>
      <queryTableField id="53" name="Korps bestaat uit ... deelnemers (hoofdkorps)" tableColumnId="53"/>
      <queryTableField id="54" name="Naam van het 2e korps" tableColumnId="54"/>
      <queryTableField id="55" name="Zal op treden als (2e korps)" tableColumnId="55"/>
      <queryTableField id="56" name="Vorm van twee muziekwerken (2e korps)" tableColumnId="56"/>
      <queryTableField id="57" name="Zal uitkomen in de: (2e korps)" tableColumnId="57"/>
      <queryTableField id="58" name="Muziekwerk1 (2e korps)" tableColumnId="58"/>
      <queryTableField id="59" name="Muziekwerk2 (2e korps)" tableColumnId="59"/>
      <queryTableField id="60" name="Korps bestaat uit ... deelnemers (2e korps)" tableColumnId="60"/>
      <queryTableField id="64" name="Mechanische muziek" tableColumnId="64"/>
      <queryTableField id="61" name="Onderdelen" tableColumnId="61"/>
      <queryTableField id="62" name="Secties" tableColumnId="62"/>
      <queryTableField id="63" name="Leeftijdscategorie" tableColumnId="63"/>
      <queryTableField id="65" name="Aantal opgegeven majorettes" tableColumnId="6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4" xr16:uid="{0C2B39FD-CD34-4C45-8EFD-FD45938D9BB9}" autoFormatId="16" applyNumberFormats="0" applyBorderFormats="0" applyFontFormats="0" applyPatternFormats="0" applyAlignmentFormats="0" applyWidthHeightFormats="0">
  <queryTableRefresh nextId="114">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06" name="Junioren korps 1" tableColumnId="10"/>
      <queryTableField id="107" name="Junioren korps 2" tableColumnId="11"/>
      <queryTableField id="108" name="Aspiranten korps 1" tableColumnId="26"/>
      <queryTableField id="109"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4" name="Groepen, teams, ensembles en duo's" tableColumnId="31"/>
      <queryTableField id="27" name="Senioren" tableColumnId="27"/>
      <queryTableField id="75" name="Jong volwassene" tableColumnId="32"/>
      <queryTableField id="28" name="Junioren" tableColumnId="28"/>
      <queryTableField id="29" name="Aspiranten" tableColumnId="29"/>
      <queryTableField id="76" name="Opgegeven senioren" tableColumnId="35"/>
      <queryTableField id="77" name="Opgegeven jong volwassene" tableColumnId="37"/>
      <queryTableField id="78" name="Opgegeven junioren" tableColumnId="39"/>
      <queryTableField id="79" name="Opgegeven aspiranten" tableColumnId="41"/>
      <queryTableField id="33" name="Marketentsters" tableColumnId="33"/>
      <queryTableField id="34" name="Luchtgeweer" tableColumnId="34"/>
      <queryTableField id="80" name="Aantal luchtgeweerschutters" tableColumnId="42"/>
      <queryTableField id="36" name="Luchtpistool" tableColumnId="36"/>
      <queryTableField id="81" name="Aantal luchtpistoolschutters" tableColumnId="43"/>
      <queryTableField id="40" name="Handboog" tableColumnId="40"/>
      <queryTableField id="82" name="Aantal handboogschutters" tableColumnId="44"/>
      <queryTableField id="38" name="Kruisboog" tableColumnId="38"/>
      <queryTableField id="83" name="Aantal kruisboogschutters" tableColumnId="71"/>
      <queryTableField id="84" name="Luchtgeweer jeugd niet ouder dan 17 jaar." tableColumnId="72"/>
      <queryTableField id="85" name="Aantal korpsen" tableColumnId="73"/>
      <queryTableField id="86"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87"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eGegevens_4" connectionId="5" xr16:uid="{E7113DB3-8D3D-4B9E-B8FB-1CD69E1478A3}" autoFormatId="16" applyNumberFormats="0" applyBorderFormats="0" applyFontFormats="0" applyPatternFormats="0" applyAlignmentFormats="0" applyWidthHeightFormats="0">
  <queryTableRefresh nextId="46">
    <queryTableFields count="23">
      <queryTableField id="29" name="Inzending-ID" tableColumnId="2"/>
      <queryTableField id="20" name="Inzenddatum" tableColumnId="20"/>
      <queryTableField id="1" name="GKVI" tableColumnId="1"/>
      <queryTableField id="21" name="Ver.nr." tableColumnId="21"/>
      <queryTableField id="3" name="Naam vereniging" tableColumnId="3"/>
      <queryTableField id="4" name="Korps klassiek senioren" tableColumnId="4"/>
      <queryTableField id="35" name="Korps 1 klassiek junioren" tableColumnId="5"/>
      <queryTableField id="36" name="Korps 2 klassiek junioren" tableColumnId="6"/>
      <queryTableField id="37" name="Korps 1 klassiek aspiranten" tableColumnId="13"/>
      <queryTableField id="38" name="Korps 2 klassiek aspiranten" tableColumnId="14"/>
      <queryTableField id="7" name="Korps acrob. senioren" tableColumnId="7"/>
      <queryTableField id="8" name="Korps acrob. junioren" tableColumnId="8"/>
      <queryTableField id="9" name="Korps acrob. aspiranten" tableColumnId="9"/>
      <queryTableField id="10" name="Korps show senioren" tableColumnId="10"/>
      <queryTableField id="11" name="Korps show junioren" tableColumnId="11"/>
      <queryTableField id="12" name="Korps show aspiranten" tableColumnId="12"/>
      <queryTableField id="23" name="Senioren" tableColumnId="22"/>
      <queryTableField id="24" name="Junioren" tableColumnId="23"/>
      <queryTableField id="25" name="Aspiranten" tableColumnId="24"/>
      <queryTableField id="17" name="Aantal deelnemers" tableColumnId="17"/>
      <queryTableField id="18" name="Hiervan is aspirant" tableColumnId="18"/>
      <queryTableField id="16" name="Opmerkingen" tableColumnId="16"/>
      <queryTableField id="39" name="Date Updated" tableColumnId="15"/>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eGegevens_2" connectionId="3" xr16:uid="{4E114F9E-3446-4D81-985E-ED37D101CA83}" autoFormatId="16" applyNumberFormats="0" applyBorderFormats="0" applyFontFormats="0" applyPatternFormats="0" applyAlignmentFormats="0" applyWidthHeightFormats="0">
  <queryTableRefresh nextId="89">
    <queryTableFields count="11">
      <queryTableField id="3" name="BIEL" tableColumnId="3"/>
      <queryTableField id="4" name="Ver.nr." tableColumnId="4"/>
      <queryTableField id="5" name="Naam vereniging" tableColumnId="5"/>
      <queryTableField id="6" name="Senioren" tableColumnId="6"/>
      <queryTableField id="84" name="Jong volwassene" tableColumnId="72"/>
      <queryTableField id="7" name="Junioren" tableColumnId="7"/>
      <queryTableField id="8" name="Aspiranten" tableColumnId="8"/>
      <queryTableField id="9" name="Opmerkingen/toelichting" tableColumnId="9"/>
      <queryTableField id="1" name="Inzending-ID" tableColumnId="1"/>
      <queryTableField id="2" name="Inzenddatum" tableColumnId="2"/>
      <queryTableField id="87" name="Date Updated"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2AD1A8-21EE-4EC5-B1CA-8DF26891C09C}" name="Kringdagen" displayName="Kringdagen" ref="A6:BY118" tableType="queryTable" totalsRowCount="1" headerRowDxfId="881" dataDxfId="880">
  <autoFilter ref="A6:BY117" xr:uid="{3B2AD1A8-21EE-4EC5-B1CA-8DF26891C09C}"/>
  <tableColumns count="77">
    <tableColumn id="1" xr3:uid="{7169F922-C0A5-4C7A-8163-110390717455}" uniqueName="1" name="Kringdag" totalsRowLabel="Totaal" queryTableFieldId="1" dataDxfId="879"/>
    <tableColumn id="2" xr3:uid="{9B4B57E0-EA6A-496B-8C47-7344A7B0416E}" uniqueName="2" name="Ver.nr" queryTableFieldId="2" dataDxfId="878"/>
    <tableColumn id="3" xr3:uid="{28A22636-2AD3-4B4A-853B-05F7307234B8}" uniqueName="3" name="Naam vereniging" totalsRowFunction="count" queryTableFieldId="3" dataDxfId="877"/>
    <tableColumn id="4" xr3:uid="{E83530C6-50B2-4ED6-ACF6-C5FE9C917B8A}" uniqueName="4" name="Delegatie" totalsRowFunction="custom" queryTableFieldId="4" dataDxfId="876">
      <totalsRowFormula>COUNTIF(Kringdagen[Delegatie],"x")</totalsRowFormula>
    </tableColumn>
    <tableColumn id="5" xr3:uid="{7E09E7CC-EED9-4C4B-9E81-D0E289EE75C2}" uniqueName="5" name="Muziekkorps bij mars en defilé" totalsRowFunction="custom" queryTableFieldId="5" dataDxfId="875" totalsRowDxfId="874">
      <totalsRowFormula>COUNTIF(Kringdagen[Muziekkorps bij mars en defilé],"x")</totalsRowFormula>
    </tableColumn>
    <tableColumn id="6" xr3:uid="{E6678213-BCA5-4FB3-8DE9-19B341796385}" uniqueName="6" name="Deeln. jeugdkoningschieten" totalsRowFunction="custom" queryTableFieldId="6" dataDxfId="873" totalsRowDxfId="872">
      <totalsRowFormula>COUNTIF(Kringdagen[Deeln. jeugdkoningschieten],"x")</totalsRowFormula>
    </tableColumn>
    <tableColumn id="7" xr3:uid="{A897B559-E43C-40AE-A514-5712E01E2677}" uniqueName="7" name="Maj. Senioren jureren bij mars" totalsRowFunction="custom" queryTableFieldId="7" dataDxfId="871" totalsRowDxfId="870">
      <totalsRowFormula>COUNTIF(Kringdagen[Maj. Senioren jureren bij mars],"x")</totalsRowFormula>
    </tableColumn>
    <tableColumn id="8" xr3:uid="{85B05329-3894-4DE9-B6ED-E97A4071FF2A}" uniqueName="8" name="Maj. Jeugd jureren bij mars" totalsRowFunction="custom" queryTableFieldId="8" dataDxfId="869" totalsRowDxfId="868">
      <totalsRowFormula>COUNTIF(Kringdagen[Maj. Jeugd jureren bij mars],"x")</totalsRowFormula>
    </tableColumn>
    <tableColumn id="9" xr3:uid="{49CEC62B-3708-4A84-925D-9D3AB0DA0F73}" uniqueName="9" name="Korps senioren" totalsRowFunction="count" queryTableFieldId="9" dataDxfId="867" totalsRowDxfId="866"/>
    <tableColumn id="10" xr3:uid="{6B4F2F2F-1FAF-3543-924F-26F97CA37565}" uniqueName="10" name="Junioren korps 1" totalsRowFunction="count" queryTableFieldId="110"/>
    <tableColumn id="11" xr3:uid="{EB9CC774-6F36-1D41-84A1-AF44A7AC3821}" uniqueName="11" name="Junioren korps 2" totalsRowFunction="count" queryTableFieldId="111"/>
    <tableColumn id="26" xr3:uid="{925701B1-92D4-524D-BB44-975708D4E0F2}" uniqueName="26" name="Aspiranten korps 1" totalsRowFunction="count" queryTableFieldId="112"/>
    <tableColumn id="30" xr3:uid="{06CF2CCD-611C-124C-82DE-BB07FE50CBA9}" uniqueName="30" name="Aspiranten korps 2" totalsRowFunction="count" queryTableFieldId="113"/>
    <tableColumn id="12" xr3:uid="{C7AD7E12-3003-473E-919D-5850575DAB82}" uniqueName="12" name="Acrobatisch senioren" totalsRowFunction="count" queryTableFieldId="12" dataDxfId="865" totalsRowDxfId="864"/>
    <tableColumn id="13" xr3:uid="{8B567A3B-937E-4E8A-921B-3C8F818CA5BC}" uniqueName="13" name="Acrobatisch junioren" totalsRowFunction="custom" queryTableFieldId="13" dataDxfId="863" totalsRowDxfId="862">
      <totalsRowFormula>COUNTIF(Kringdagen[Acrobatisch junioren],"x")</totalsRowFormula>
    </tableColumn>
    <tableColumn id="14" xr3:uid="{46D8E097-8060-41EE-9300-00C0FE494A71}" uniqueName="14" name="Acrobatisch aspiranten" totalsRowFunction="custom" queryTableFieldId="14" dataDxfId="861" totalsRowDxfId="860">
      <totalsRowFormula>COUNTIF(Kringdagen[Acrobatisch aspiranten],"x")</totalsRowFormula>
    </tableColumn>
    <tableColumn id="15" xr3:uid="{3520E680-87C5-4FB1-83CF-64483A825E88}" uniqueName="15" name="Show senioren" queryTableFieldId="15" dataDxfId="859"/>
    <tableColumn id="16" xr3:uid="{52FBA786-F2B5-4A99-A66F-A96504BF6E62}" uniqueName="16" name="Show junioren" totalsRowFunction="count" queryTableFieldId="16" dataDxfId="858"/>
    <tableColumn id="17" xr3:uid="{6B2FC241-12E4-42BB-9EB8-B2F2D7BBDB51}" uniqueName="17" name="Show aspiranten" totalsRowFunction="count" queryTableFieldId="17" dataDxfId="857"/>
    <tableColumn id="18" xr3:uid="{C7144BC3-9507-4F1F-839C-D9B47BC35129}" uniqueName="18" name="Senioren indiv." totalsRowFunction="sum" queryTableFieldId="18" dataDxfId="856" totalsRowDxfId="855"/>
    <tableColumn id="19" xr3:uid="{B7406091-1217-477A-B658-F33626FCC096}" uniqueName="19" name="Junioren indiv." totalsRowFunction="sum" queryTableFieldId="19" dataDxfId="854" totalsRowDxfId="853"/>
    <tableColumn id="20" xr3:uid="{B805D14A-8A89-4BDB-9E34-7FDE41080043}" uniqueName="20" name="Aspiranten indiv." totalsRowFunction="sum" queryTableFieldId="20" dataDxfId="852" totalsRowDxfId="851"/>
    <tableColumn id="21" xr3:uid="{DA0C42EE-0211-4EAE-AA77-10ECFC275046}" uniqueName="21" name="Sen. ind opgegeven namen" totalsRowFunction="sum" queryTableFieldId="21" dataDxfId="850" totalsRowDxfId="849"/>
    <tableColumn id="22" xr3:uid="{22C736A7-9D4B-4B04-900B-6389D7770216}" uniqueName="22" name="Jun. ind opgegeven namen" totalsRowFunction="sum" queryTableFieldId="22" dataDxfId="848" totalsRowDxfId="847"/>
    <tableColumn id="23" xr3:uid="{EA2F5761-2CD1-4E57-B92B-A330394439F7}" uniqueName="23" name="Asp. ind opgegeven namen" totalsRowFunction="sum" queryTableFieldId="23" dataDxfId="846" totalsRowDxfId="845"/>
    <tableColumn id="24" xr3:uid="{D2315A47-D679-4C3E-9008-01944CDEA104}" uniqueName="24" name="Hoofdkorps" totalsRowFunction="custom" queryTableFieldId="24" dataDxfId="844" totalsRowDxfId="843">
      <totalsRowFormula>COUNTIF(Kringdagen[Hoofdkorps],"x")</totalsRowFormula>
    </tableColumn>
    <tableColumn id="25" xr3:uid="{65EEC1D3-27E6-4BBF-B43D-0095CEFABF66}" uniqueName="25" name="2e korps" totalsRowFunction="custom" queryTableFieldId="25" dataDxfId="842" totalsRowDxfId="841">
      <totalsRowFormula>COUNTIF(Kringdagen[2e korps],"x")</totalsRowFormula>
    </tableColumn>
    <tableColumn id="31" xr3:uid="{00B2A2A4-B8ED-49A0-9F8F-38F89F43411A}" uniqueName="31" name="Groepen, teams, ensembles en duo's" totalsRowFunction="count" queryTableFieldId="78"/>
    <tableColumn id="27" xr3:uid="{7BB4D3FC-109D-47BA-B9BD-B08D2B1288FB}" uniqueName="27" name="Senioren" totalsRowFunction="sum" queryTableFieldId="27" dataDxfId="840"/>
    <tableColumn id="32" xr3:uid="{CC331888-BB39-4C72-8420-9A514DA0BFCF}" uniqueName="32" name="Jong volwassene" totalsRowFunction="sum" queryTableFieldId="79"/>
    <tableColumn id="28" xr3:uid="{D70C281E-A0B6-47CA-BB3C-7AA5560A4CC2}" uniqueName="28" name="Junioren" totalsRowFunction="sum" queryTableFieldId="28" dataDxfId="839"/>
    <tableColumn id="29" xr3:uid="{A6A55D24-90D7-4793-953C-8BED0C9CA667}" uniqueName="29" name="Aspiranten" totalsRowFunction="sum" queryTableFieldId="29" dataDxfId="838"/>
    <tableColumn id="35" xr3:uid="{D8A1205A-C81A-44D1-8F2D-60C384E136F5}" uniqueName="35" name="Opgegeven senioren" totalsRowFunction="sum" queryTableFieldId="80"/>
    <tableColumn id="37" xr3:uid="{933810B6-BBB9-4FEF-8CBF-B9F27056FC92}" uniqueName="37" name="Opgegeven jong volwassene" totalsRowFunction="sum" queryTableFieldId="81"/>
    <tableColumn id="39" xr3:uid="{6BD908E3-DF48-4688-97C8-B6EAE72A91DD}" uniqueName="39" name="Opgegeven junioren" totalsRowFunction="sum" queryTableFieldId="82"/>
    <tableColumn id="41" xr3:uid="{1984258B-546E-423D-AFE2-AA763DC9A4A4}" uniqueName="41" name="Opgegeven aspiranten" totalsRowFunction="sum" queryTableFieldId="83"/>
    <tableColumn id="33" xr3:uid="{326E8F18-C19B-456E-86C1-3ADD38D94464}" uniqueName="33" name="Marketentsters" totalsRowFunction="custom" queryTableFieldId="33" dataDxfId="837">
      <totalsRowFormula>COUNTIF(Kringdagen[Acrobatisch aspiranten],"x")</totalsRowFormula>
    </tableColumn>
    <tableColumn id="34" xr3:uid="{D67523FD-729A-4875-B750-2E0984FC2AFC}" uniqueName="34" name="Luchtgeweer" totalsRowFunction="custom" queryTableFieldId="34" dataDxfId="836">
      <totalsRowFormula>COUNTIF(Kringdagen[Luchtgeweer],"x")</totalsRowFormula>
    </tableColumn>
    <tableColumn id="42" xr3:uid="{9B139311-D274-49A8-94E7-1AD6DCCB25D3}" uniqueName="42" name="Aantal luchtgeweerschutters" totalsRowFunction="sum" queryTableFieldId="84"/>
    <tableColumn id="36" xr3:uid="{289B9A18-0C3D-4168-B8C1-F78C2257FB79}" uniqueName="36" name="Luchtpistool" totalsRowFunction="custom" queryTableFieldId="36" dataDxfId="835">
      <totalsRowFormula>COUNTIF(Kringdagen[Luchtpistool],"x")</totalsRowFormula>
    </tableColumn>
    <tableColumn id="43" xr3:uid="{3672FD41-3E0F-42CD-9F45-6131E27DA8F2}" uniqueName="43" name="Aantal luchtpistoolschutters" totalsRowFunction="sum" queryTableFieldId="85"/>
    <tableColumn id="40" xr3:uid="{F8B26F13-01CD-4495-93AB-15F10A1049AD}" uniqueName="40" name="Handboog" totalsRowFunction="custom" queryTableFieldId="40" dataDxfId="834">
      <totalsRowFormula>COUNTIF(Kringdagen[Handboog],"x")</totalsRowFormula>
    </tableColumn>
    <tableColumn id="44" xr3:uid="{D7D759F3-208D-4B2D-BB20-8EE723E9D536}" uniqueName="44" name="Aantal handboogschutters" totalsRowFunction="sum" queryTableFieldId="86"/>
    <tableColumn id="38" xr3:uid="{BF15A180-6B6D-4D01-8D56-94BD5C65421C}" uniqueName="38" name="Kruisboog" totalsRowFunction="custom" queryTableFieldId="38" dataDxfId="833">
      <totalsRowFormula>COUNTIF(Kringdagen[Kruisboog],"x")</totalsRowFormula>
    </tableColumn>
    <tableColumn id="71" xr3:uid="{5728B2C7-1DB9-4032-81F2-ACA15494CC6F}" uniqueName="71" name="Aantal kruisboogschutters" totalsRowFunction="sum" queryTableFieldId="87"/>
    <tableColumn id="72" xr3:uid="{BFB9E05E-1721-447B-92B4-9D9D1847611E}" uniqueName="72" name="Luchtgeweer jeugd niet ouder dan 17 jaar." totalsRowFunction="custom" queryTableFieldId="88" dataDxfId="832">
      <totalsRowFormula>COUNTIF(Kringdagen[[#Headers],[#Data],[Luchtgeweer jeugd niet ouder dan 17 jaar.]],"x")</totalsRowFormula>
    </tableColumn>
    <tableColumn id="73" xr3:uid="{527D85A2-785F-4C31-9343-1F5772082267}" uniqueName="73" name="Aantal korpsen" totalsRowFunction="sum" queryTableFieldId="89"/>
    <tableColumn id="74" xr3:uid="{11DE4FF6-2DB3-4BAB-A81C-98B03ACD130F}" uniqueName="74" name="Opgegeven jeugdkorpsen LG" totalsRowFunction="sum" queryTableFieldId="90"/>
    <tableColumn id="45" xr3:uid="{487581FD-47FD-4B43-B4CD-B3CB14A5658D}" uniqueName="45" name="Totaal aantal deelnemers" totalsRowFunction="sum" queryTableFieldId="45" dataDxfId="831"/>
    <tableColumn id="46" xr3:uid="{24CE9FFA-B58D-41F3-B403-2A7455C510FA}" uniqueName="46" name="Waarvan aantal jeugd (t/m 15 jaar)" totalsRowFunction="sum" queryTableFieldId="46" dataDxfId="830"/>
    <tableColumn id="47" xr3:uid="{F4FDD882-9499-4143-B293-D33292BE1EDD}" uniqueName="47" name="Kanon etc." totalsRowFunction="custom" queryTableFieldId="47" dataDxfId="829">
      <totalsRowFormula>COUNTIF(Kringdagen[Kanon etc.],"x")</totalsRowFormula>
    </tableColumn>
    <tableColumn id="48" xr3:uid="{BFBCCAD4-A36E-473C-AABB-E13B45AC4056}" uniqueName="48" name="Paarden en/of koetsen" totalsRowFunction="custom" queryTableFieldId="48" dataDxfId="828">
      <totalsRowFormula>COUNTIF(Kringdagen[Paarden en/of koetsen],"x")</totalsRowFormula>
    </tableColumn>
    <tableColumn id="49" xr3:uid="{A7B1F859-9BFD-4A99-8275-1C36781803C9}" uniqueName="49" name="Toelichting/opmerkingen" queryTableFieldId="49" dataDxfId="827" totalsRowDxfId="826"/>
    <tableColumn id="50" xr3:uid="{7CDF31B1-5BC8-4AC1-B0C4-721328656AA8}" uniqueName="50" name="Inzending-ID" queryTableFieldId="50" dataDxfId="825"/>
    <tableColumn id="51" xr3:uid="{584A802D-3439-4ACA-AFDC-FC30D9E20F1B}" uniqueName="51" name="Inzenddatum" queryTableFieldId="51" dataDxfId="824"/>
    <tableColumn id="75" xr3:uid="{5A64AE3D-0A3E-4214-AA7A-0BD95C97BB7D}" uniqueName="75" name="Date Updated" queryTableFieldId="91" dataDxfId="823"/>
    <tableColumn id="52" xr3:uid="{3B7A1945-C475-49E0-821E-DE1E932FC754}" uniqueName="52" name="Naam van het hoofdkorps" queryTableFieldId="52" dataDxfId="822"/>
    <tableColumn id="53" xr3:uid="{AC4D1791-8940-4916-AF6A-5C3B622C6244}" uniqueName="53" name="Zal op treden als (hoofdkorps)" queryTableFieldId="53" dataDxfId="821"/>
    <tableColumn id="54" xr3:uid="{8205D8BF-789B-4766-89ED-5BEEB61F4F3E}" uniqueName="54" name="Vorm van twee muziekwerken (hoofdkorps)" queryTableFieldId="54" dataDxfId="820"/>
    <tableColumn id="55" xr3:uid="{38D02A87-0B62-4193-BB26-814D3F0F7CE3}" uniqueName="55" name="Zal uitkomen in de: (hoofdkorps)" queryTableFieldId="55" dataDxfId="819"/>
    <tableColumn id="56" xr3:uid="{5A373806-0F74-4F9E-8F05-ABC018CB841B}" uniqueName="56" name="Muziekwerk1 (hoofdkorps)" queryTableFieldId="56" dataDxfId="818"/>
    <tableColumn id="57" xr3:uid="{FD3115BA-A8B0-4983-BB09-1D0734FFF11D}" uniqueName="57" name="Muziekwerk2 (hoofdkorps)" queryTableFieldId="57" dataDxfId="817"/>
    <tableColumn id="58" xr3:uid="{538579BC-A4B4-41B7-A0E4-5ED6CE267985}" uniqueName="58" name="Korps bestaat uit ... deelnemers (hoofdkorps)" queryTableFieldId="58" dataDxfId="816"/>
    <tableColumn id="59" xr3:uid="{B6BF2D51-68AA-4A33-AEB5-BF9246AACE9A}" uniqueName="59" name="Naam van het 2e korps" queryTableFieldId="59" dataDxfId="815"/>
    <tableColumn id="60" xr3:uid="{421F5F90-267D-4901-9B8E-991C5897AC60}" uniqueName="60" name="Zal op treden als (2e korps)" queryTableFieldId="60" dataDxfId="814"/>
    <tableColumn id="61" xr3:uid="{8448A063-B19D-4184-B8C7-25D0479A5D0C}" uniqueName="61" name="Vorm van twee muziekwerken (2e korps)" queryTableFieldId="61" dataDxfId="813"/>
    <tableColumn id="62" xr3:uid="{44056152-530D-483A-9546-BFE5C52E9BA6}" uniqueName="62" name="Zal uitkomen in de: (2e korps)" queryTableFieldId="62" dataDxfId="812"/>
    <tableColumn id="63" xr3:uid="{FB032110-844D-4A34-925E-237A62033908}" uniqueName="63" name="Muziekwerk1 (2e korps)" queryTableFieldId="63" dataDxfId="811"/>
    <tableColumn id="64" xr3:uid="{A63C4752-27A4-4642-989D-48A16EB8534B}" uniqueName="64" name="Muziekwerk2 (2e korps)" queryTableFieldId="64" dataDxfId="810" totalsRowDxfId="809"/>
    <tableColumn id="65" xr3:uid="{5C72AC6E-8F73-4B3D-AD19-BDA77DA16FA9}" uniqueName="65" name="Korps bestaat uit ... deelnemers (2e korps)" queryTableFieldId="65" dataDxfId="808" totalsRowDxfId="807"/>
    <tableColumn id="69" xr3:uid="{4321D970-37D1-4901-B966-516EDF83B5C1}" uniqueName="69" name="Mechanische muziek" queryTableFieldId="69" dataDxfId="806" totalsRowDxfId="805"/>
    <tableColumn id="66" xr3:uid="{F8AAA117-DE18-4F31-8CC3-9BFE50C3F6CC}" uniqueName="66" name="Onderdelen" queryTableFieldId="66" dataDxfId="804" totalsRowDxfId="803"/>
    <tableColumn id="67" xr3:uid="{8BD9FAD2-8AD0-4E46-9B1E-ADF442282474}" uniqueName="67" name="Secties" queryTableFieldId="67" dataDxfId="802" totalsRowDxfId="801"/>
    <tableColumn id="68" xr3:uid="{A2FDF1E3-65B9-4616-9296-F9BC2DBF4E46}" uniqueName="68" name="Leeftijdscategorie" queryTableFieldId="68" dataDxfId="800" totalsRowDxfId="799"/>
    <tableColumn id="70" xr3:uid="{4119D92A-81F3-4CA7-8040-7C262720EC7A}" uniqueName="70" name="Aantal opgegeven majorettes" totalsRowFunction="sum" queryTableFieldId="70" dataDxfId="798" totalsRowDxfId="797"/>
    <tableColumn id="78" xr3:uid="{70D9A541-1343-6148-BB3C-57F41FD61F5D}" uniqueName="78" name="Column1" queryTableFieldId="120" dataDxfId="796"/>
    <tableColumn id="79" xr3:uid="{F0C863D8-4178-354A-9B27-7298BD31A035}" uniqueName="79" name="_332" queryTableFieldId="121" dataDxfId="79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D540B2-EAF0-4DE2-B57B-B123CBAF77F8}" name="KDM" displayName="KDM" ref="A7:BW21" tableType="queryTable" totalsRowCount="1" headerRowDxfId="794" dataDxfId="793" totalsRowDxfId="792">
  <autoFilter ref="A7:BW20" xr:uid="{2CD540B2-EAF0-4DE2-B57B-B123CBAF77F8}"/>
  <tableColumns count="75">
    <tableColumn id="1" xr3:uid="{1103BBA0-A8BC-4D47-8FCD-A3FDFA000991}" uniqueName="1" name="Kringdag" totalsRowLabel="Totaal" queryTableFieldId="1" dataDxfId="791"/>
    <tableColumn id="2" xr3:uid="{C7B4BCD5-1C5D-4BF7-BAED-3A0C2CB1F3D1}" uniqueName="2" name="Ver.nr" queryTableFieldId="2" dataDxfId="790"/>
    <tableColumn id="3" xr3:uid="{9DA68F7A-F5A4-430F-AA1A-B1A621DAF4EE}" uniqueName="3" name="Naam vereniging" totalsRowFunction="count" queryTableFieldId="3" dataDxfId="789" totalsRowDxfId="788"/>
    <tableColumn id="4" xr3:uid="{56F38DBD-5A2B-46D1-8142-1B151DE834FE}" uniqueName="4" name="Delegatie" totalsRowFunction="custom" queryTableFieldId="4" dataDxfId="787" totalsRowDxfId="786">
      <totalsRowFormula>COUNTIF(KDM[Delegatie],"x")</totalsRowFormula>
    </tableColumn>
    <tableColumn id="5" xr3:uid="{0A6A9C30-5B27-412A-BB0B-519280B4824B}" uniqueName="5" name="Muziekkorps bij mars en defilé" totalsRowFunction="custom" queryTableFieldId="5" dataDxfId="785" totalsRowDxfId="784">
      <totalsRowFormula>COUNTIF(KDM[Muziekkorps bij mars en defilé],"x")</totalsRowFormula>
    </tableColumn>
    <tableColumn id="6" xr3:uid="{0EF1B394-669B-4312-A165-6ED5704C248D}" uniqueName="6" name="Deeln. jeugdkoningschieten" totalsRowFunction="custom" queryTableFieldId="6" dataDxfId="783" totalsRowDxfId="782">
      <totalsRowFormula>COUNTIF(KDM[Deeln. jeugdkoningschieten],"x")</totalsRowFormula>
    </tableColumn>
    <tableColumn id="7" xr3:uid="{0E14AC65-9321-47FF-9069-7F59147E815C}" uniqueName="7" name="Maj. Senioren jureren bij mars" totalsRowFunction="custom" queryTableFieldId="7" dataDxfId="781" totalsRowDxfId="780">
      <totalsRowFormula>COUNTIF(KDM[Maj. Senioren jureren bij mars],"x")</totalsRowFormula>
    </tableColumn>
    <tableColumn id="8" xr3:uid="{86F1F864-AE5F-430C-AAD0-2F423ED0C79A}" uniqueName="8" name="Maj. Jeugd jureren bij mars" totalsRowFunction="custom" queryTableFieldId="8" dataDxfId="779" totalsRowDxfId="778">
      <totalsRowFormula>COUNTIF(KDM[Maj. Jeugd jureren bij mars],"x")</totalsRowFormula>
    </tableColumn>
    <tableColumn id="9" xr3:uid="{4D16CC4B-0392-434F-BB5E-9A77AACD0570}" uniqueName="9" name="Korps senioren" totalsRowFunction="count" queryTableFieldId="9" dataDxfId="777" totalsRowDxfId="776"/>
    <tableColumn id="10" xr3:uid="{52B04DEF-7B7A-4605-B991-CE2214297B0A}" uniqueName="10" name="Junioren korps 1" totalsRowFunction="count" queryTableFieldId="120" dataDxfId="775" totalsRowDxfId="774"/>
    <tableColumn id="11" xr3:uid="{DE4F4F56-4A22-4646-A428-8BFCB0383503}" uniqueName="11" name="Junioren korps 2" totalsRowFunction="count" queryTableFieldId="121" dataDxfId="773" totalsRowDxfId="772"/>
    <tableColumn id="26" xr3:uid="{427F84BA-67CF-4528-8E9C-B2ACC2AAEFF1}" uniqueName="26" name="Aspiranten korps 1" totalsRowFunction="count" queryTableFieldId="122" dataDxfId="771" totalsRowDxfId="770"/>
    <tableColumn id="30" xr3:uid="{8DAFA16D-00E8-44E9-ABD8-EE403D7CDB78}" uniqueName="30" name="Aspiranten korps 2" totalsRowFunction="count" queryTableFieldId="123" dataDxfId="769" totalsRowDxfId="768"/>
    <tableColumn id="12" xr3:uid="{AC0F6136-3715-4379-A358-A022D71C9CF2}" uniqueName="12" name="Acrobatisch senioren" totalsRowFunction="count" queryTableFieldId="12" dataDxfId="767" totalsRowDxfId="766"/>
    <tableColumn id="13" xr3:uid="{5CB2F786-C6CD-4D31-8435-9F349EC91962}" uniqueName="13" name="Acrobatisch junioren" totalsRowFunction="count" queryTableFieldId="13" dataDxfId="765" totalsRowDxfId="764"/>
    <tableColumn id="14" xr3:uid="{67C2CBD8-0B32-4379-A0B6-849663120187}" uniqueName="14" name="Acrobatisch aspiranten" totalsRowFunction="count" queryTableFieldId="14" dataDxfId="763" totalsRowDxfId="762"/>
    <tableColumn id="15" xr3:uid="{3200A8D3-393D-48E5-A13B-28AA07B269BC}" uniqueName="15" name="Show senioren" queryTableFieldId="15" dataDxfId="761" totalsRowDxfId="760"/>
    <tableColumn id="16" xr3:uid="{BD755798-A106-4E58-AC3A-29EF81FA1C42}" uniqueName="16" name="Show junioren" queryTableFieldId="16" dataDxfId="759" totalsRowDxfId="758"/>
    <tableColumn id="17" xr3:uid="{3A30FE20-7662-492C-B9B2-C9FFC86D516B}" uniqueName="17" name="Show aspiranten" queryTableFieldId="17" dataDxfId="757" totalsRowDxfId="756"/>
    <tableColumn id="18" xr3:uid="{E22007BB-0174-429F-84CA-CF78AA079CB6}" uniqueName="18" name="Senioren indiv." totalsRowFunction="sum" queryTableFieldId="18" dataDxfId="755" totalsRowDxfId="754"/>
    <tableColumn id="19" xr3:uid="{EBBB12A6-43FC-4D97-8CD4-597AA9E51031}" uniqueName="19" name="Junioren indiv." totalsRowFunction="sum" queryTableFieldId="19" dataDxfId="753" totalsRowDxfId="752"/>
    <tableColumn id="20" xr3:uid="{21DA1D24-967A-4096-A692-28F6B39AAEEE}" uniqueName="20" name="Aspiranten indiv." totalsRowFunction="sum" queryTableFieldId="20" dataDxfId="751" totalsRowDxfId="750"/>
    <tableColumn id="21" xr3:uid="{727ECB18-6D8E-46D0-B56F-DAF816B707FF}" uniqueName="21" name="Sen. ind opgegeven namen" totalsRowFunction="sum" queryTableFieldId="21" dataDxfId="749" totalsRowDxfId="748"/>
    <tableColumn id="22" xr3:uid="{CE2410D8-CF76-4736-A78E-4123FB23E9F9}" uniqueName="22" name="Jun. ind opgegeven namen" totalsRowFunction="sum" queryTableFieldId="22" dataDxfId="747" totalsRowDxfId="746"/>
    <tableColumn id="23" xr3:uid="{D135BAA9-49F7-4641-B3D6-4DF752244534}" uniqueName="23" name="Asp. ind opgegeven namen" totalsRowFunction="sum" queryTableFieldId="23" dataDxfId="745" totalsRowDxfId="744"/>
    <tableColumn id="24" xr3:uid="{6667AB92-4EEA-44D6-A4DD-B0434FEA668E}" uniqueName="24" name="Hoofdkorps" totalsRowFunction="custom" queryTableFieldId="24" dataDxfId="743" totalsRowDxfId="742">
      <totalsRowFormula>COUNTIF(KDM[Hoofdkorps],"x")</totalsRowFormula>
    </tableColumn>
    <tableColumn id="25" xr3:uid="{D8B8BB65-4A90-4631-8E7A-4D3AA8552A9C}" uniqueName="25" name="2e korps" totalsRowFunction="custom" queryTableFieldId="25" dataDxfId="741" totalsRowDxfId="740">
      <totalsRowFormula>COUNTIF(KDM[2e korps],"x")</totalsRowFormula>
    </tableColumn>
    <tableColumn id="31" xr3:uid="{B09B6154-3422-4137-B51A-8DEE0F9F462D}" uniqueName="31" name="Groepen, teams, ensembles en duo's" totalsRowFunction="sum" queryTableFieldId="80" dataDxfId="739" totalsRowDxfId="738"/>
    <tableColumn id="27" xr3:uid="{256C4587-E989-4647-AA31-C1624FA2FEAC}" uniqueName="27" name="Senioren" totalsRowFunction="sum" queryTableFieldId="27" dataDxfId="737" totalsRowDxfId="736"/>
    <tableColumn id="32" xr3:uid="{C0370C61-D9F6-4797-B3B8-F2D1C9BB4852}" uniqueName="32" name="Jong volwassene" totalsRowFunction="sum" queryTableFieldId="81" totalsRowDxfId="735"/>
    <tableColumn id="28" xr3:uid="{54FE8F08-70CE-4FD0-96CD-8E868167C7D2}" uniqueName="28" name="Junioren" totalsRowFunction="sum" queryTableFieldId="28" dataDxfId="734" totalsRowDxfId="733"/>
    <tableColumn id="29" xr3:uid="{2E865A1A-3C71-466A-8934-91FE60012A60}" uniqueName="29" name="Aspiranten" totalsRowFunction="sum" queryTableFieldId="29" dataDxfId="732" totalsRowDxfId="731"/>
    <tableColumn id="35" xr3:uid="{81C3194F-DD43-4F92-9593-79357F8786EB}" uniqueName="35" name="Opgegeven senioren" totalsRowFunction="sum" queryTableFieldId="82" dataDxfId="730" totalsRowDxfId="729"/>
    <tableColumn id="37" xr3:uid="{6E0C519F-6EB0-4334-9B1A-F596E8E454AC}" uniqueName="37" name="Opgegeven jong volwassene" totalsRowFunction="sum" queryTableFieldId="83" dataDxfId="728" totalsRowDxfId="727"/>
    <tableColumn id="39" xr3:uid="{E3029DBD-E0FB-4C50-9468-CA660DE3025A}" uniqueName="39" name="Opgegeven junioren" totalsRowFunction="sum" queryTableFieldId="84" totalsRowDxfId="726"/>
    <tableColumn id="41" xr3:uid="{35732D12-A7C4-42C4-BE23-5697B89EEC73}" uniqueName="41" name="Opgegeven aspiranten" totalsRowFunction="sum" queryTableFieldId="85" dataDxfId="725" totalsRowDxfId="724"/>
    <tableColumn id="33" xr3:uid="{BF03D043-517D-4DB3-9286-0D15F4B1A397}" uniqueName="33" name="Marketentsters" totalsRowFunction="custom" queryTableFieldId="33" dataDxfId="723" totalsRowDxfId="722">
      <totalsRowFormula>COUNTIF(KDM[Marketentsters],"x")</totalsRowFormula>
    </tableColumn>
    <tableColumn id="34" xr3:uid="{51F54AC5-F9AE-4FE8-BA0F-54081FBE5E81}" uniqueName="34" name="Luchtgeweer" totalsRowFunction="custom" queryTableFieldId="34" dataDxfId="721" totalsRowDxfId="720">
      <totalsRowFormula>COUNTIF(KDM[Luchtgeweer],"x")</totalsRowFormula>
    </tableColumn>
    <tableColumn id="42" xr3:uid="{AD32ACC3-2A54-43AA-9148-7EA9E6D56965}" uniqueName="42" name="Aantal luchtgeweerschutters" totalsRowFunction="sum" queryTableFieldId="86" totalsRowDxfId="719"/>
    <tableColumn id="36" xr3:uid="{0CC42708-8DCC-439B-89E3-BDDE53979283}" uniqueName="36" name="Luchtpistool" totalsRowFunction="custom" queryTableFieldId="36" dataDxfId="718" totalsRowDxfId="717">
      <totalsRowFormula>COUNTIF(KDM[Luchtpistool],"x")</totalsRowFormula>
    </tableColumn>
    <tableColumn id="43" xr3:uid="{FFBFE65D-31DA-457C-BE80-FC187203B147}" uniqueName="43" name="Aantal luchtpistoolschutters" totalsRowFunction="sum" queryTableFieldId="87" totalsRowDxfId="716"/>
    <tableColumn id="40" xr3:uid="{EBF61A57-DD1C-47D2-8CCA-41A0F57B1A96}" uniqueName="40" name="Handboog" totalsRowFunction="custom" queryTableFieldId="40" dataDxfId="715" totalsRowDxfId="714">
      <totalsRowFormula>COUNTIF(KDM[Handboog],"x")</totalsRowFormula>
    </tableColumn>
    <tableColumn id="44" xr3:uid="{29163F03-74A3-4353-83DF-892EC5A017A2}" uniqueName="44" name="Aantal handboogschutters" totalsRowFunction="sum" queryTableFieldId="88" totalsRowDxfId="713"/>
    <tableColumn id="38" xr3:uid="{FAA925D4-01EA-4240-92AF-E0481E5FDB4E}" uniqueName="38" name="Kruisboog" totalsRowFunction="custom" queryTableFieldId="38" dataDxfId="712" totalsRowDxfId="711">
      <totalsRowFormula>COUNTIF(KDM[Kruisboog],"x")</totalsRowFormula>
    </tableColumn>
    <tableColumn id="71" xr3:uid="{C43138BE-F656-4EA0-9DB0-2B9C0994481F}" uniqueName="71" name="Aantal kruisboogschutters" totalsRowFunction="sum" queryTableFieldId="89" totalsRowDxfId="710"/>
    <tableColumn id="72" xr3:uid="{498E0BB8-7958-483C-B657-8BB77F0FB837}" uniqueName="72" name="Luchtgeweer jeugd niet ouder dan 17 jaar." totalsRowFunction="custom" queryTableFieldId="90" totalsRowDxfId="709">
      <totalsRowFormula>COUNTIF(KDM[Luchtgeweer jeugd niet ouder dan 17 jaar.],"x")</totalsRowFormula>
    </tableColumn>
    <tableColumn id="73" xr3:uid="{EF49EA19-FFFC-4C92-9B2C-86AA91A50C3D}" uniqueName="73" name="Aantal korpsen" totalsRowFunction="sum" queryTableFieldId="91" totalsRowDxfId="708"/>
    <tableColumn id="74" xr3:uid="{BF742F9A-AB07-41AB-9E1D-AB7B7B3271C4}" uniqueName="74" name="Opgegeven jeugdkorpsen LG" totalsRowFunction="sum" queryTableFieldId="92" totalsRowDxfId="707"/>
    <tableColumn id="45" xr3:uid="{19947D8E-C146-4F61-8E81-67BD20023F28}" uniqueName="45" name="Totaal aantal deelnemers" totalsRowFunction="sum" queryTableFieldId="45" dataDxfId="706" totalsRowDxfId="705"/>
    <tableColumn id="46" xr3:uid="{BB8D92BB-D698-4DE2-8134-A64DC678E0D4}" uniqueName="46" name="Waarvan aantal jeugd (t/m 15 jaar)" totalsRowFunction="sum" queryTableFieldId="46" dataDxfId="704" totalsRowDxfId="703"/>
    <tableColumn id="47" xr3:uid="{1B7EF0F4-ACE2-4E41-9F1B-912D63ADE04E}" uniqueName="47" name="Kanon etc." totalsRowFunction="custom" queryTableFieldId="47" dataDxfId="702" totalsRowDxfId="701">
      <totalsRowFormula>COUNTIF(KDM[Kanon etc.],"x")</totalsRowFormula>
    </tableColumn>
    <tableColumn id="48" xr3:uid="{7007A11F-6D10-44D9-86B5-53AAE3FE5038}" uniqueName="48" name="Paarden en/of koetsen" totalsRowFunction="custom" queryTableFieldId="48" dataDxfId="700" totalsRowDxfId="699">
      <totalsRowFormula>COUNTIF(KDM[Paarden en/of koetsen],"x")</totalsRowFormula>
    </tableColumn>
    <tableColumn id="49" xr3:uid="{5A6DB413-3256-420D-A58A-662346BDCF67}" uniqueName="49" name="Toelichting/opmerkingen" queryTableFieldId="49" dataDxfId="698" totalsRowDxfId="697"/>
    <tableColumn id="50" xr3:uid="{6FBEB53C-FE4E-4FE9-A15E-1549EA66F05B}" uniqueName="50" name="Inzending-ID" queryTableFieldId="50" totalsRowDxfId="696"/>
    <tableColumn id="51" xr3:uid="{344A8F98-6529-45AB-9EA1-CAC68E8EA1D6}" uniqueName="51" name="Inzenddatum" queryTableFieldId="51" dataDxfId="695" totalsRowDxfId="694"/>
    <tableColumn id="75" xr3:uid="{0190D9CB-AEC1-474C-B0C9-2997F247F263}" uniqueName="75" name="Date Updated" queryTableFieldId="93" dataDxfId="693" totalsRowDxfId="692"/>
    <tableColumn id="52" xr3:uid="{59AD6DB3-558C-4CE3-AE1C-3F6D275437D2}" uniqueName="52" name="Naam van het hoofdkorps" queryTableFieldId="52" totalsRowDxfId="691"/>
    <tableColumn id="53" xr3:uid="{1E6E0AB3-6015-4B6B-9965-94D3A13E0117}" uniqueName="53" name="Zal op treden als (hoofdkorps)" queryTableFieldId="53" totalsRowDxfId="690"/>
    <tableColumn id="54" xr3:uid="{3F26E9C8-0175-4E71-978E-080659366137}" uniqueName="54" name="Vorm van twee muziekwerken (hoofdkorps)" queryTableFieldId="54" totalsRowDxfId="689"/>
    <tableColumn id="55" xr3:uid="{EE89679C-3970-404F-9DC4-1E46686BDAE4}" uniqueName="55" name="Zal uitkomen in de: (hoofdkorps)" queryTableFieldId="55" totalsRowDxfId="688"/>
    <tableColumn id="56" xr3:uid="{8E3A8F5A-F2ED-479D-AA23-12C3B156CA44}" uniqueName="56" name="Muziekwerk1 (hoofdkorps)" queryTableFieldId="56" totalsRowDxfId="687"/>
    <tableColumn id="57" xr3:uid="{B3F66E59-A470-4AD5-BCB9-792E70E49122}" uniqueName="57" name="Muziekwerk2 (hoofdkorps)" queryTableFieldId="57" totalsRowDxfId="686"/>
    <tableColumn id="58" xr3:uid="{5BD80B3A-4601-40F3-9C5F-D5745A2E1D4F}" uniqueName="58" name="Korps bestaat uit ... deelnemers (hoofdkorps)" queryTableFieldId="58" totalsRowDxfId="685"/>
    <tableColumn id="59" xr3:uid="{6451A10A-8F21-479F-81F4-05223DCEF067}" uniqueName="59" name="Naam van het 2e korps" queryTableFieldId="59" totalsRowDxfId="684"/>
    <tableColumn id="60" xr3:uid="{4EA1AC0E-82AF-48C9-9A20-754D75158E2A}" uniqueName="60" name="Zal op treden als (2e korps)" queryTableFieldId="60" totalsRowDxfId="683"/>
    <tableColumn id="61" xr3:uid="{7EC431FA-4B8A-4F25-B8BB-20A579B53005}" uniqueName="61" name="Vorm van twee muziekwerken (2e korps)" queryTableFieldId="61" totalsRowDxfId="682"/>
    <tableColumn id="62" xr3:uid="{849EE010-E7D6-4D9A-9D23-56B356AF0CA3}" uniqueName="62" name="Zal uitkomen in de: (2e korps)" queryTableFieldId="62" totalsRowDxfId="681"/>
    <tableColumn id="63" xr3:uid="{94F7FEBF-4B5B-4A7C-A471-B08B86B9310D}" uniqueName="63" name="Muziekwerk1 (2e korps)" queryTableFieldId="63" totalsRowDxfId="680"/>
    <tableColumn id="64" xr3:uid="{33C24921-A5F4-4638-8F58-935D9D9EDCA2}" uniqueName="64" name="Muziekwerk2 (2e korps)" queryTableFieldId="64" totalsRowDxfId="679"/>
    <tableColumn id="65" xr3:uid="{F7EABD4C-084D-4662-AD89-CB1E4F218DD7}" uniqueName="65" name="Korps bestaat uit ... deelnemers (2e korps)" queryTableFieldId="65" totalsRowDxfId="678"/>
    <tableColumn id="69" xr3:uid="{FB2AB4C9-6C3D-4BF2-9B4F-41C9179239B0}" uniqueName="69" name="Mechanische muziek" queryTableFieldId="69" totalsRowDxfId="677"/>
    <tableColumn id="66" xr3:uid="{0B450FBA-12EF-4BCE-859B-4B12FD085D93}" uniqueName="66" name="Onderdelen" queryTableFieldId="66" totalsRowDxfId="676"/>
    <tableColumn id="67" xr3:uid="{0015294C-99BF-4EDB-A3AF-578345E11467}" uniqueName="67" name="Secties" queryTableFieldId="67" totalsRowDxfId="675"/>
    <tableColumn id="68" xr3:uid="{4F44F759-96C2-4758-96A5-ED0DFA76F905}" uniqueName="68" name="Leeftijdscategorie" queryTableFieldId="68" totalsRowDxfId="674"/>
    <tableColumn id="70" xr3:uid="{884558A7-621E-4038-A8CB-DC3F0C3BC985}" uniqueName="70" name="Aantal opgegeven majorettes" totalsRowFunction="sum" queryTableFieldId="70" dataDxfId="673" totalsRowDxfId="67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7859E2-FEBE-4C6B-878D-0D5F2E3A3C55}" name="KDL" displayName="KDL" ref="A6:BW27" tableType="queryTable" totalsRowCount="1" headerRowDxfId="671" dataDxfId="670" totalsRowDxfId="669">
  <autoFilter ref="A6:BW26" xr:uid="{1C7859E2-FEBE-4C6B-878D-0D5F2E3A3C55}"/>
  <tableColumns count="75">
    <tableColumn id="1" xr3:uid="{EDB78B54-2831-4A3D-80E1-F75B83FDB926}" uniqueName="1" name="Kringdag" totalsRowLabel="Totaal" queryTableFieldId="1"/>
    <tableColumn id="2" xr3:uid="{0D1A2C2A-0BDC-4083-81A8-3EC5C388101A}" uniqueName="2" name="Ver.nr" queryTableFieldId="2" dataDxfId="668"/>
    <tableColumn id="3" xr3:uid="{4B36CDC0-BE6D-4356-8E00-F9631326E778}" uniqueName="3" name="Naam vereniging" totalsRowFunction="count" queryTableFieldId="3"/>
    <tableColumn id="4" xr3:uid="{57B71CC3-5284-41D1-A7D9-9906AC9634FE}" uniqueName="4" name="Delegatie" totalsRowFunction="custom" queryTableFieldId="4" dataDxfId="667" totalsRowDxfId="666">
      <totalsRowFormula>COUNTIF(KDL[Delegatie],"x")</totalsRowFormula>
    </tableColumn>
    <tableColumn id="5" xr3:uid="{9A308465-DBD5-4A7C-95A8-4E71EB8C6AAF}" uniqueName="5" name="Muziekkorps bij mars en defilé" totalsRowFunction="custom" queryTableFieldId="5" dataDxfId="665" totalsRowDxfId="664">
      <totalsRowFormula>COUNTIF(KDL[Muziekkorps bij mars en defilé],"x")</totalsRowFormula>
    </tableColumn>
    <tableColumn id="6" xr3:uid="{E5A6E810-09C2-4076-9D5E-306B6D89F27A}" uniqueName="6" name="Deeln. jeugdkoningschieten" totalsRowFunction="custom" queryTableFieldId="6" dataDxfId="663" totalsRowDxfId="662">
      <totalsRowFormula>COUNTIF(KDL[Deeln. jeugdkoningschieten],"x")</totalsRowFormula>
    </tableColumn>
    <tableColumn id="7" xr3:uid="{93BE05C0-88AF-4904-B3C7-DF10389B13F3}" uniqueName="7" name="Maj. Senioren jureren bij mars" totalsRowFunction="custom" queryTableFieldId="7" dataDxfId="661" totalsRowDxfId="660">
      <totalsRowFormula>COUNTIF(KDL[Maj. Senioren jureren bij mars],"x")</totalsRowFormula>
    </tableColumn>
    <tableColumn id="8" xr3:uid="{4C7B2FE6-832A-4E27-8246-09B69E8561ED}" uniqueName="8" name="Maj. Jeugd jureren bij mars" totalsRowFunction="custom" queryTableFieldId="8" dataDxfId="659" totalsRowDxfId="658">
      <totalsRowFormula>COUNTIF(KDL[Maj. Jeugd jureren bij mars],"x")</totalsRowFormula>
    </tableColumn>
    <tableColumn id="9" xr3:uid="{86857107-905A-45D3-A248-DF36A76EEACD}" uniqueName="9" name="Korps senioren" totalsRowFunction="count" queryTableFieldId="9" dataDxfId="657" totalsRowDxfId="656"/>
    <tableColumn id="10" xr3:uid="{64891433-2EA9-4372-ACAE-76A1D5AC81EC}" uniqueName="10" name="Junioren korps 1" totalsRowFunction="count" queryTableFieldId="118" totalsRowDxfId="655"/>
    <tableColumn id="11" xr3:uid="{B28C65B2-21C8-451E-9541-C2B66F10D332}" uniqueName="11" name="Junioren korps 2" totalsRowFunction="count" queryTableFieldId="119" totalsRowDxfId="654"/>
    <tableColumn id="26" xr3:uid="{4E739CF1-6FB4-4B45-84D9-54FCD1BB1952}" uniqueName="26" name="Aspiranten korps 1" totalsRowFunction="count" queryTableFieldId="120" totalsRowDxfId="653"/>
    <tableColumn id="30" xr3:uid="{6687C010-AB49-4766-A7C7-08EF3634C339}" uniqueName="30" name="Aspiranten korps 2" totalsRowFunction="count" queryTableFieldId="121" totalsRowDxfId="652"/>
    <tableColumn id="12" xr3:uid="{CB8CD2DD-8D30-408A-B33C-B2916D5F187D}" uniqueName="12" name="Acrobatisch senioren" totalsRowFunction="count" queryTableFieldId="12" dataDxfId="651" totalsRowDxfId="650"/>
    <tableColumn id="13" xr3:uid="{7BC2D42F-89AD-4F62-8BFD-E1AD8A37641E}" uniqueName="13" name="Acrobatisch junioren" totalsRowFunction="count" queryTableFieldId="13" dataDxfId="649" totalsRowDxfId="648"/>
    <tableColumn id="14" xr3:uid="{330BFF1B-27FC-4155-B519-6495DA9BD45B}" uniqueName="14" name="Acrobatisch aspiranten" totalsRowFunction="count" queryTableFieldId="14" dataDxfId="647" totalsRowDxfId="646"/>
    <tableColumn id="15" xr3:uid="{2D2BB7A2-8C97-49E6-B53D-63E8AF0F9F19}" uniqueName="15" name="Show senioren" queryTableFieldId="15" dataDxfId="645" totalsRowDxfId="644"/>
    <tableColumn id="16" xr3:uid="{C8AA7E52-A5AA-49D9-9C80-7E774E1ABE92}" uniqueName="16" name="Show junioren" queryTableFieldId="16" dataDxfId="643" totalsRowDxfId="642"/>
    <tableColumn id="17" xr3:uid="{9A12D42C-2B39-40A3-A2F1-2917B2720C46}" uniqueName="17" name="Show aspiranten" queryTableFieldId="17" dataDxfId="641" totalsRowDxfId="640"/>
    <tableColumn id="18" xr3:uid="{0EF7E319-9FB2-4E30-AF3A-3E5FFFD9F1B3}" uniqueName="18" name="Senioren indiv." totalsRowFunction="sum" queryTableFieldId="18" totalsRowDxfId="639"/>
    <tableColumn id="19" xr3:uid="{ACA69D3E-42F7-4DF7-994A-58F128DD57CD}" uniqueName="19" name="Junioren indiv." totalsRowFunction="sum" queryTableFieldId="19" totalsRowDxfId="638"/>
    <tableColumn id="20" xr3:uid="{7DF3479B-E7CA-4ED8-8FFB-71114DC9E25D}" uniqueName="20" name="Aspiranten indiv." totalsRowFunction="sum" queryTableFieldId="20" totalsRowDxfId="637"/>
    <tableColumn id="21" xr3:uid="{A650067B-0908-45E6-94D7-BD335B7C960E}" uniqueName="21" name="Sen. ind opgegeven namen" totalsRowFunction="sum" queryTableFieldId="21" totalsRowDxfId="636"/>
    <tableColumn id="22" xr3:uid="{612D4C3E-F94F-49C2-88F1-08C412907B83}" uniqueName="22" name="Jun. ind opgegeven namen" totalsRowFunction="sum" queryTableFieldId="22" totalsRowDxfId="635"/>
    <tableColumn id="23" xr3:uid="{633E5A2E-3E25-4ACB-A752-43604A9560A6}" uniqueName="23" name="Asp. ind opgegeven namen" totalsRowFunction="sum" queryTableFieldId="23" totalsRowDxfId="634"/>
    <tableColumn id="24" xr3:uid="{57956973-6970-47BC-9FFF-BDFB06BEC464}" uniqueName="24" name="Hoofdkorps" totalsRowFunction="custom" queryTableFieldId="24" dataDxfId="633" totalsRowDxfId="632">
      <totalsRowFormula>COUNTIF(KDL[Hoofdkorps],"x")</totalsRowFormula>
    </tableColumn>
    <tableColumn id="25" xr3:uid="{04B5A3D8-FF1D-4275-8E2B-AA4A59A34E8B}" uniqueName="25" name="2e korps" totalsRowFunction="custom" queryTableFieldId="25" dataDxfId="631" totalsRowDxfId="630">
      <totalsRowFormula>COUNTIF(KDL[2e korps],"x")</totalsRowFormula>
    </tableColumn>
    <tableColumn id="31" xr3:uid="{2433CA1F-6379-4CDF-9024-3EC6CBF0DFBF}" uniqueName="31" name="Groepen, teams, ensembles en duo's" totalsRowFunction="sum" queryTableFieldId="86" totalsRowDxfId="629"/>
    <tableColumn id="27" xr3:uid="{01EAE119-1717-4DB1-BCC1-076158F2B7D3}" uniqueName="27" name="Senioren" totalsRowFunction="sum" queryTableFieldId="27" dataDxfId="628" totalsRowDxfId="627"/>
    <tableColumn id="32" xr3:uid="{FED96D10-E0EA-4F9F-8FD4-47FED620F130}" uniqueName="32" name="Jong volwassene" totalsRowFunction="sum" queryTableFieldId="87" totalsRowDxfId="626"/>
    <tableColumn id="28" xr3:uid="{E6DAF836-35E4-476B-9579-13EEC2C54509}" uniqueName="28" name="Junioren" totalsRowFunction="sum" queryTableFieldId="28" totalsRowDxfId="625"/>
    <tableColumn id="29" xr3:uid="{B862400F-87B7-4AAF-AF98-CB5C9C41067D}" uniqueName="29" name="Aspiranten" totalsRowFunction="sum" queryTableFieldId="29" totalsRowDxfId="624"/>
    <tableColumn id="35" xr3:uid="{7A608A6E-F5CA-4BDE-97A3-3990A6548B2B}" uniqueName="35" name="Opgegeven senioren" totalsRowFunction="sum" queryTableFieldId="88" totalsRowDxfId="623"/>
    <tableColumn id="37" xr3:uid="{F4A70C4B-99E1-4110-BBD5-E5280BA35F3F}" uniqueName="37" name="Opgegeven jong volwassene" totalsRowFunction="sum" queryTableFieldId="89" totalsRowDxfId="622"/>
    <tableColumn id="39" xr3:uid="{9B8173CA-169C-4CD4-87A7-2DC9BE602D67}" uniqueName="39" name="Opgegeven junioren" totalsRowFunction="sum" queryTableFieldId="90" totalsRowDxfId="621"/>
    <tableColumn id="41" xr3:uid="{1135793E-2C37-4A39-83C0-08BD19122C9D}" uniqueName="41" name="Opgegeven aspiranten" totalsRowFunction="sum" queryTableFieldId="91" totalsRowDxfId="620"/>
    <tableColumn id="33" xr3:uid="{8FF26CA8-7516-4CEB-8709-358028484F6C}" uniqueName="33" name="Marketentsters" totalsRowFunction="custom" queryTableFieldId="33" dataDxfId="619" totalsRowDxfId="618">
      <totalsRowFormula>COUNTIF(KDL[Marketentsters],"x")</totalsRowFormula>
    </tableColumn>
    <tableColumn id="34" xr3:uid="{B0C87D6D-0274-439D-9F3B-B0658AED1BBD}" uniqueName="34" name="Luchtgeweer" totalsRowFunction="custom" queryTableFieldId="34" dataDxfId="617" totalsRowDxfId="616">
      <totalsRowFormula>COUNTIF(KDL[Luchtgeweer],"x")</totalsRowFormula>
    </tableColumn>
    <tableColumn id="42" xr3:uid="{5BE41AA9-6D2D-4AAD-AC70-B8AFB45A7A0C}" uniqueName="42" name="Aantal luchtgeweerschutters" totalsRowFunction="sum" queryTableFieldId="92" totalsRowDxfId="615"/>
    <tableColumn id="36" xr3:uid="{5C863D58-2733-4033-9435-D482AA08ADCB}" uniqueName="36" name="Luchtpistool" totalsRowFunction="custom" queryTableFieldId="36" dataDxfId="614" totalsRowDxfId="613">
      <totalsRowFormula>COUNTIF(KDL[Luchtpistool],"x")</totalsRowFormula>
    </tableColumn>
    <tableColumn id="43" xr3:uid="{4354801C-48D7-4389-87A6-9B5DB9CED9FC}" uniqueName="43" name="Aantal luchtpistoolschutters" totalsRowFunction="sum" queryTableFieldId="93" totalsRowDxfId="612"/>
    <tableColumn id="40" xr3:uid="{232916E5-1725-4C06-AE87-F05E98E84376}" uniqueName="40" name="Handboog" totalsRowFunction="custom" queryTableFieldId="40" dataDxfId="611" totalsRowDxfId="610">
      <totalsRowFormula>COUNTIF(KDL[Handboog],"x")</totalsRowFormula>
    </tableColumn>
    <tableColumn id="44" xr3:uid="{E49D6762-67FB-4AD1-8906-865B907216FD}" uniqueName="44" name="Aantal handboogschutters" totalsRowFunction="sum" queryTableFieldId="94" totalsRowDxfId="609"/>
    <tableColumn id="38" xr3:uid="{FF49762E-1EDE-4A60-B2B3-F57682D2F581}" uniqueName="38" name="Kruisboog" totalsRowFunction="custom" queryTableFieldId="38" dataDxfId="608" totalsRowDxfId="607">
      <totalsRowFormula>COUNTIF(KDL[Kruisboog],"x")</totalsRowFormula>
    </tableColumn>
    <tableColumn id="71" xr3:uid="{B6F67F3D-41FE-4C39-A0D0-5AC402847995}" uniqueName="71" name="Aantal kruisboogschutters" totalsRowFunction="sum" queryTableFieldId="95" totalsRowDxfId="606"/>
    <tableColumn id="72" xr3:uid="{71B82EDC-AC07-47BC-80F1-572A42A9EA7D}" uniqueName="72" name="Luchtgeweer jeugd niet ouder dan 17 jaar." totalsRowFunction="custom" queryTableFieldId="96" dataDxfId="605" totalsRowDxfId="604">
      <totalsRowFormula>COUNTIF(KDL[Luchtgeweer jeugd niet ouder dan 17 jaar.],"x")</totalsRowFormula>
    </tableColumn>
    <tableColumn id="73" xr3:uid="{7A6FDD62-7623-47AC-BE61-54C9DD155FCD}" uniqueName="73" name="Aantal korpsen" totalsRowFunction="sum" queryTableFieldId="97" totalsRowDxfId="603"/>
    <tableColumn id="74" xr3:uid="{79906B44-290E-4BFF-8446-6F2A14243E37}" uniqueName="74" name="Opgegeven jeugdkorpsen LG" totalsRowFunction="sum" queryTableFieldId="98" totalsRowDxfId="602"/>
    <tableColumn id="45" xr3:uid="{6FE91AB4-F0BF-4229-863C-5C3B0B0C150F}" uniqueName="45" name="Totaal aantal deelnemers" totalsRowFunction="sum" queryTableFieldId="45" dataDxfId="601" totalsRowDxfId="600"/>
    <tableColumn id="46" xr3:uid="{3F920BB7-39BB-472A-9E05-9D16E946E754}" uniqueName="46" name="Waarvan aantal jeugd (t/m 15 jaar)" totalsRowFunction="sum" queryTableFieldId="46" dataDxfId="599" totalsRowDxfId="598"/>
    <tableColumn id="47" xr3:uid="{5F6639A2-1A58-4EE2-8A88-7CE4C28DE14E}" uniqueName="47" name="Kanon etc." totalsRowFunction="custom" queryTableFieldId="47" dataDxfId="597" totalsRowDxfId="596">
      <totalsRowFormula>COUNTIF(KDL[Kanon etc.],"x")</totalsRowFormula>
    </tableColumn>
    <tableColumn id="48" xr3:uid="{75E9B5DB-26ED-4455-8D06-5EBB0489B6E5}" uniqueName="48" name="Paarden en/of koetsen" totalsRowFunction="custom" queryTableFieldId="48" dataDxfId="595" totalsRowDxfId="594">
      <totalsRowFormula>COUNTIF(KDL[Paarden en/of koetsen],"x")</totalsRowFormula>
    </tableColumn>
    <tableColumn id="49" xr3:uid="{A2F351EF-BF6A-4EF2-B20F-ACD1F3D421D5}" uniqueName="49" name="Toelichting/opmerkingen" queryTableFieldId="49" dataDxfId="593" totalsRowDxfId="592"/>
    <tableColumn id="50" xr3:uid="{8E6E3B2B-A3E8-463D-9C6C-E7EB38640090}" uniqueName="50" name="Inzending-ID" queryTableFieldId="50" dataDxfId="591" totalsRowDxfId="590"/>
    <tableColumn id="51" xr3:uid="{7C7C4003-91EC-471F-86E1-E7F95D4AF041}" uniqueName="51" name="Inzenddatum" queryTableFieldId="51" dataDxfId="589" totalsRowDxfId="588"/>
    <tableColumn id="75" xr3:uid="{74353F0E-ABA6-4C8C-8036-8E81B5968782}" uniqueName="75" name="Date Updated" queryTableFieldId="99" dataDxfId="587" totalsRowDxfId="586"/>
    <tableColumn id="52" xr3:uid="{571854C2-F9B4-4AC2-B42B-5B307450030A}" uniqueName="52" name="Naam van het hoofdkorps" queryTableFieldId="52" totalsRowDxfId="585"/>
    <tableColumn id="53" xr3:uid="{98BDBCEE-4546-409E-9965-16FBFF631FDD}" uniqueName="53" name="Zal op treden als (hoofdkorps)" queryTableFieldId="53" totalsRowDxfId="584"/>
    <tableColumn id="54" xr3:uid="{6DAD7732-30CB-40CD-BC61-9F4E1AE160E4}" uniqueName="54" name="Vorm van twee muziekwerken (hoofdkorps)" queryTableFieldId="54" totalsRowDxfId="583"/>
    <tableColumn id="55" xr3:uid="{64F6BB10-27FA-451D-957A-3CF7BB6B07E3}" uniqueName="55" name="Zal uitkomen in de: (hoofdkorps)" queryTableFieldId="55" totalsRowDxfId="582"/>
    <tableColumn id="56" xr3:uid="{1667CE51-ED48-444B-A5E4-5F1FF62BAAB5}" uniqueName="56" name="Muziekwerk1 (hoofdkorps)" queryTableFieldId="56" totalsRowDxfId="581"/>
    <tableColumn id="57" xr3:uid="{F0C01F3E-6748-4F03-A3F5-EAD5689C0D7E}" uniqueName="57" name="Muziekwerk2 (hoofdkorps)" queryTableFieldId="57" totalsRowDxfId="580"/>
    <tableColumn id="58" xr3:uid="{109CA614-CF3C-4518-B10C-FB3A5F35C8AD}" uniqueName="58" name="Korps bestaat uit ... deelnemers (hoofdkorps)" queryTableFieldId="58" dataDxfId="579" totalsRowDxfId="578"/>
    <tableColumn id="59" xr3:uid="{EBB1025D-9F16-4477-A93E-585F35700005}" uniqueName="59" name="Naam van het 2e korps" queryTableFieldId="59" totalsRowDxfId="577"/>
    <tableColumn id="60" xr3:uid="{0D55EFB6-EB3C-48F1-BC90-A91C74796335}" uniqueName="60" name="Zal op treden als (2e korps)" queryTableFieldId="60" totalsRowDxfId="576"/>
    <tableColumn id="61" xr3:uid="{065270A4-DBC9-4E3A-A7C3-E96A4989AF08}" uniqueName="61" name="Vorm van twee muziekwerken (2e korps)" queryTableFieldId="61" totalsRowDxfId="575"/>
    <tableColumn id="62" xr3:uid="{03937D12-4562-4E96-9188-B44366F2059B}" uniqueName="62" name="Zal uitkomen in de: (2e korps)" queryTableFieldId="62" totalsRowDxfId="574"/>
    <tableColumn id="63" xr3:uid="{B96BCE7B-0A0F-4096-94A7-1727983FCF81}" uniqueName="63" name="Muziekwerk1 (2e korps)" queryTableFieldId="63" totalsRowDxfId="573"/>
    <tableColumn id="64" xr3:uid="{A699F2C8-7164-4116-821E-E1F7ECBB16CF}" uniqueName="64" name="Muziekwerk2 (2e korps)" queryTableFieldId="64" dataDxfId="572" totalsRowDxfId="571"/>
    <tableColumn id="65" xr3:uid="{14F077BD-BA28-4657-A9D6-903661E69000}" uniqueName="65" name="Korps bestaat uit ... deelnemers (2e korps)" queryTableFieldId="65" totalsRowDxfId="570"/>
    <tableColumn id="69" xr3:uid="{7D5E67A8-F62C-41DA-9BDF-AF828627EB01}" uniqueName="69" name="Mechanische muziek" queryTableFieldId="69" dataDxfId="569" totalsRowDxfId="568"/>
    <tableColumn id="66" xr3:uid="{6CE245F9-18FA-40DF-94FF-BC235CEB698A}" uniqueName="66" name="Onderdelen" queryTableFieldId="66" dataDxfId="567" totalsRowDxfId="566"/>
    <tableColumn id="67" xr3:uid="{FA63884A-B82F-4383-8AC3-1D99260FC1BA}" uniqueName="67" name="Secties" queryTableFieldId="67" dataDxfId="565" totalsRowDxfId="564"/>
    <tableColumn id="68" xr3:uid="{7B6A9F6F-BB58-42BA-91AE-B6DA6ABC2578}" uniqueName="68" name="Leeftijdscategorie" queryTableFieldId="68" dataDxfId="563" totalsRowDxfId="562"/>
    <tableColumn id="70" xr3:uid="{5BE6C664-B0D1-466F-92E1-918FBA88A5E0}" uniqueName="70" name="Aantal opgegeven majorettes" totalsRowFunction="sum" queryTableFieldId="70" totalsRowDxfId="56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33CA51-300D-4E19-87BD-CE9A932A5F64}" name="KDA" displayName="KDA" ref="A6:BX32" tableType="queryTable" totalsRowCount="1" headerRowDxfId="560" dataDxfId="559" totalsRowDxfId="558">
  <autoFilter ref="A6:BX31" xr:uid="{1533CA51-300D-4E19-87BD-CE9A932A5F64}"/>
  <tableColumns count="76">
    <tableColumn id="1" xr3:uid="{F93438CA-5BC1-40B0-AC53-A5A974368AF7}" uniqueName="1" name="Kringdag" totalsRowLabel="Totaal" queryTableFieldId="1" dataDxfId="557"/>
    <tableColumn id="2" xr3:uid="{11BCB282-4F36-4774-AA5B-AA23FFE13890}" uniqueName="2" name="Ver.nr" queryTableFieldId="2" dataDxfId="556"/>
    <tableColumn id="3" xr3:uid="{F2EA5EB1-97BC-48C0-A4CC-D5A0A1764FF3}" uniqueName="3" name="Naam vereniging" totalsRowFunction="count" queryTableFieldId="3"/>
    <tableColumn id="4" xr3:uid="{B8495924-00E2-444B-89A8-BD52A8328D25}" uniqueName="4" name="Delegatie" totalsRowFunction="custom" queryTableFieldId="4" dataDxfId="555" totalsRowDxfId="554">
      <totalsRowFormula>COUNTIF(KDA[Delegatie],"x")</totalsRowFormula>
    </tableColumn>
    <tableColumn id="5" xr3:uid="{E06FC56F-DD67-466F-93BC-7471DD416A1A}" uniqueName="5" name="Muziekkorps bij mars en defilé" totalsRowFunction="custom" queryTableFieldId="5" dataDxfId="553" totalsRowDxfId="552">
      <totalsRowFormula>COUNTIF(KDA[Muziekkorps bij mars en defilé],"x")</totalsRowFormula>
    </tableColumn>
    <tableColumn id="6" xr3:uid="{B2C1A0BA-64B2-4B29-A89F-F4361D7EDDA2}" uniqueName="6" name="Deeln. jeugdkoningschieten" totalsRowFunction="custom" queryTableFieldId="6" dataDxfId="551" totalsRowDxfId="550">
      <totalsRowFormula>COUNTIF(KDA[Deeln. jeugdkoningschieten],"x")</totalsRowFormula>
    </tableColumn>
    <tableColumn id="7" xr3:uid="{DD3AFF5E-1BCA-48EA-9B7A-BF4825D60A07}" uniqueName="7" name="Maj. Senioren jureren bij mars" totalsRowFunction="custom" queryTableFieldId="7" dataDxfId="549" totalsRowDxfId="548">
      <totalsRowFormula>COUNTIF(KDA[Maj. Senioren jureren bij mars],"x")</totalsRowFormula>
    </tableColumn>
    <tableColumn id="8" xr3:uid="{AC812AEA-FD1F-434D-93D9-F04B994734F3}" uniqueName="8" name="Maj. Jeugd jureren bij mars" totalsRowFunction="custom" queryTableFieldId="8" dataDxfId="547" totalsRowDxfId="546">
      <totalsRowFormula>COUNTIF(KDA[Maj. Jeugd jureren bij mars],"x")</totalsRowFormula>
    </tableColumn>
    <tableColumn id="9" xr3:uid="{103082B0-6247-47F4-808D-327BE9CB1B80}" uniqueName="9" name="Korps senioren" totalsRowFunction="count" queryTableFieldId="9" dataDxfId="545" totalsRowDxfId="544"/>
    <tableColumn id="10" xr3:uid="{D74E8F12-96A3-424F-A6C2-D1D436652E47}" uniqueName="10" name="Junioren korps 1" totalsRowFunction="count" queryTableFieldId="112" totalsRowDxfId="543"/>
    <tableColumn id="11" xr3:uid="{6BA5C00F-7B52-490C-8F8A-10903D727ED5}" uniqueName="11" name="Junioren korps 2" totalsRowFunction="count" queryTableFieldId="113" totalsRowDxfId="542"/>
    <tableColumn id="26" xr3:uid="{22819178-6A63-482A-9494-31DC8CECDA5A}" uniqueName="26" name="Aspiranten korps 1" totalsRowFunction="count" queryTableFieldId="114" dataDxfId="541" totalsRowDxfId="540"/>
    <tableColumn id="30" xr3:uid="{7B9B50E1-7D1D-495E-B261-7AB482B0DD39}" uniqueName="30" name="Aspiranten korps 2" totalsRowFunction="count" queryTableFieldId="115" totalsRowDxfId="539"/>
    <tableColumn id="12" xr3:uid="{E66D5DFB-32B6-42AC-B4D5-E30137B204C2}" uniqueName="12" name="Acrobatisch senioren" totalsRowFunction="count" queryTableFieldId="12" dataDxfId="538" totalsRowDxfId="537"/>
    <tableColumn id="13" xr3:uid="{F1F58774-FA3B-4D0D-93AB-C2468779E24B}" uniqueName="13" name="Acrobatisch junioren" totalsRowFunction="count" queryTableFieldId="13" dataDxfId="536" totalsRowDxfId="535"/>
    <tableColumn id="14" xr3:uid="{0ADA7D06-C504-4FDF-9B22-532627DA442D}" uniqueName="14" name="Acrobatisch aspiranten" totalsRowFunction="count" queryTableFieldId="14" dataDxfId="534" totalsRowDxfId="533"/>
    <tableColumn id="15" xr3:uid="{003A0629-A841-482D-9497-FD928CA63AC3}" uniqueName="15" name="Show senioren" queryTableFieldId="15" dataDxfId="532" totalsRowDxfId="531"/>
    <tableColumn id="16" xr3:uid="{A07346AE-9183-4CAB-8290-6FB260E88BDA}" uniqueName="16" name="Show junioren" queryTableFieldId="16" dataDxfId="530" totalsRowDxfId="529"/>
    <tableColumn id="17" xr3:uid="{42782677-0BC4-4B59-83D0-AAD146CED9A7}" uniqueName="17" name="Show aspiranten" queryTableFieldId="17" dataDxfId="528" totalsRowDxfId="527"/>
    <tableColumn id="18" xr3:uid="{993FA367-ECDB-4796-BBF5-2C8A80786752}" uniqueName="18" name="Senioren indiv." totalsRowFunction="sum" queryTableFieldId="18" totalsRowDxfId="526"/>
    <tableColumn id="19" xr3:uid="{E4B93A7E-C99D-404B-958A-53AC9915538B}" uniqueName="19" name="Junioren indiv." totalsRowFunction="sum" queryTableFieldId="19" totalsRowDxfId="525"/>
    <tableColumn id="20" xr3:uid="{9CBBE6CF-215E-41EA-B4B8-01218CA064F0}" uniqueName="20" name="Aspiranten indiv." totalsRowFunction="sum" queryTableFieldId="20" totalsRowDxfId="524"/>
    <tableColumn id="21" xr3:uid="{48A9223C-9738-4246-9658-2291CBBF5BDB}" uniqueName="21" name="Sen. ind opgegeven namen" totalsRowFunction="sum" queryTableFieldId="21" totalsRowDxfId="523"/>
    <tableColumn id="22" xr3:uid="{A363B7BF-C1DB-409E-BE12-FF3A85F26564}" uniqueName="22" name="Jun. ind opgegeven namen" totalsRowFunction="sum" queryTableFieldId="22" totalsRowDxfId="522"/>
    <tableColumn id="23" xr3:uid="{7190C7B5-C1FE-47B2-B536-10BD609396FA}" uniqueName="23" name="Asp. ind opgegeven namen" totalsRowFunction="sum" queryTableFieldId="23" totalsRowDxfId="521"/>
    <tableColumn id="24" xr3:uid="{33B74F72-409E-46A1-9666-8832CDB341F9}" uniqueName="24" name="Hoofdkorps" totalsRowFunction="custom" queryTableFieldId="24" dataDxfId="520" totalsRowDxfId="519">
      <totalsRowFormula>COUNTIF(KDA[Hoofdkorps],"x")</totalsRowFormula>
    </tableColumn>
    <tableColumn id="25" xr3:uid="{E75BA82A-4EC4-43EC-8CDA-F4B633611053}" uniqueName="25" name="2e korps" totalsRowFunction="custom" queryTableFieldId="25" dataDxfId="518" totalsRowDxfId="517">
      <totalsRowFormula>COUNTIF(KDA[2e korps],"x")</totalsRowFormula>
    </tableColumn>
    <tableColumn id="31" xr3:uid="{8C17FF84-91ED-4367-96B0-D5E9C2E308AA}" uniqueName="31" name="Groepen, teams, ensembles en duo's" totalsRowFunction="sum" queryTableFieldId="80" totalsRowDxfId="516"/>
    <tableColumn id="27" xr3:uid="{78F4C8EC-321C-48CA-A6EA-B4EF44603AD1}" uniqueName="27" name="Senioren" totalsRowFunction="sum" queryTableFieldId="27" totalsRowDxfId="515"/>
    <tableColumn id="32" xr3:uid="{A8E6E228-1CC8-4B2E-B7B8-71C2D810E97D}" uniqueName="32" name="Jong volwassene" totalsRowFunction="sum" queryTableFieldId="81" totalsRowDxfId="514"/>
    <tableColumn id="28" xr3:uid="{013C1948-F539-46B8-97DF-5FC55797320E}" uniqueName="28" name="Junioren" totalsRowFunction="sum" queryTableFieldId="28" totalsRowDxfId="513"/>
    <tableColumn id="29" xr3:uid="{392E162D-5ED4-47A0-A7C3-2155E0008E03}" uniqueName="29" name="Aspiranten" totalsRowFunction="sum" queryTableFieldId="29" totalsRowDxfId="512"/>
    <tableColumn id="35" xr3:uid="{52752A42-08CC-444F-8FCC-27D3B8816379}" uniqueName="35" name="Opgegeven senioren" totalsRowFunction="sum" queryTableFieldId="82" totalsRowDxfId="511"/>
    <tableColumn id="37" xr3:uid="{EBB72690-7293-4B9A-B81C-EBB1608151E4}" uniqueName="37" name="Opgegeven jong volwassene" totalsRowFunction="sum" queryTableFieldId="83" totalsRowDxfId="510"/>
    <tableColumn id="39" xr3:uid="{0C66655B-B78F-4DF0-BB19-1A806276B528}" uniqueName="39" name="Opgegeven junioren" totalsRowFunction="sum" queryTableFieldId="84" totalsRowDxfId="509"/>
    <tableColumn id="41" xr3:uid="{D31EB490-0AA2-42BC-8FB7-5990C483CB48}" uniqueName="41" name="Opgegeven aspiranten" totalsRowFunction="sum" queryTableFieldId="85" totalsRowDxfId="508"/>
    <tableColumn id="33" xr3:uid="{55AAE09E-E997-495C-959A-F5351ED1E7B7}" uniqueName="33" name="Marketentsters" totalsRowFunction="custom" queryTableFieldId="33" dataDxfId="507" totalsRowDxfId="506">
      <totalsRowFormula>COUNTIF(KDA[Marketentsters],"x")</totalsRowFormula>
    </tableColumn>
    <tableColumn id="34" xr3:uid="{E6741020-7ED5-49D6-B406-51CEE8B8DD68}" uniqueName="34" name="Luchtgeweer" totalsRowFunction="custom" queryTableFieldId="34" dataDxfId="505" totalsRowDxfId="504">
      <totalsRowFormula>COUNTIF(KDA[Luchtgeweer],"x")</totalsRowFormula>
    </tableColumn>
    <tableColumn id="42" xr3:uid="{5A549990-ED18-4F73-A6C8-4E658A409420}" uniqueName="42" name="Aantal luchtgeweerschutters" totalsRowFunction="sum" queryTableFieldId="86" dataDxfId="503"/>
    <tableColumn id="36" xr3:uid="{EAC31335-978D-41AD-B136-0983A961D6E2}" uniqueName="36" name="Luchtpistool" totalsRowFunction="custom" queryTableFieldId="36" dataDxfId="502" totalsRowDxfId="501">
      <totalsRowFormula>COUNTIF(KDA[Luchtpistool],"x")</totalsRowFormula>
    </tableColumn>
    <tableColumn id="43" xr3:uid="{D31A5E4D-5471-4911-B227-561D3D36C71B}" uniqueName="43" name="Aantal luchtpistoolschutters" totalsRowFunction="sum" queryTableFieldId="87" totalsRowDxfId="500"/>
    <tableColumn id="40" xr3:uid="{AAFBD778-4704-439C-8204-5F5A02A8B3A8}" uniqueName="40" name="Handboog" totalsRowFunction="custom" queryTableFieldId="40" dataDxfId="499" totalsRowDxfId="498">
      <totalsRowFormula>COUNTIF(KDA[Handboog],"x")</totalsRowFormula>
    </tableColumn>
    <tableColumn id="44" xr3:uid="{32C15FFD-49E8-4D70-870E-65ED8286FDFA}" uniqueName="44" name="Aantal handboogschutters" totalsRowFunction="sum" queryTableFieldId="88" dataDxfId="497"/>
    <tableColumn id="38" xr3:uid="{537D7FC0-ADEB-4D95-B5AA-67860B0C8D31}" uniqueName="38" name="Kruisboog" totalsRowFunction="custom" queryTableFieldId="38" dataDxfId="496" totalsRowDxfId="495">
      <totalsRowFormula>COUNTIF(KDA[Kruisboog],"x")</totalsRowFormula>
    </tableColumn>
    <tableColumn id="71" xr3:uid="{E8DBE28A-D63A-4627-9B78-87475022C1F7}" uniqueName="71" name="Aantal kruisboogschutters" totalsRowFunction="sum" queryTableFieldId="89" totalsRowDxfId="494"/>
    <tableColumn id="72" xr3:uid="{F44B5FDC-1CAE-43A1-BB30-C5D81EC88DE8}" uniqueName="72" name="Luchtgeweer jeugd niet ouder dan 17 jaar." totalsRowFunction="custom" queryTableFieldId="90" dataDxfId="493" totalsRowDxfId="492">
      <totalsRowFormula>COUNTIF(KDA[Luchtgeweer jeugd niet ouder dan 17 jaar.],"x")</totalsRowFormula>
    </tableColumn>
    <tableColumn id="73" xr3:uid="{B4EBB654-5962-4156-BEAE-3952F17CC8B9}" uniqueName="73" name="Aantal korpsen" totalsRowFunction="sum" queryTableFieldId="91" dataDxfId="491" totalsRowDxfId="490"/>
    <tableColumn id="74" xr3:uid="{CAA768B5-90B5-4D9E-81AB-2321BC33E35A}" uniqueName="74" name="Opgegeven jeugdkorpsen LG" totalsRowFunction="sum" queryTableFieldId="92" dataDxfId="489" totalsRowDxfId="488"/>
    <tableColumn id="45" xr3:uid="{2F277C4A-7C12-42C0-BA72-175A58161C7B}" uniqueName="45" name="Totaal aantal deelnemers" totalsRowFunction="sum" queryTableFieldId="45" dataDxfId="487" totalsRowDxfId="486"/>
    <tableColumn id="46" xr3:uid="{06097E5F-1324-42A7-90B9-AB1E8A3AE557}" uniqueName="46" name="Waarvan aantal jeugd (t/m 15 jaar)" totalsRowFunction="sum" queryTableFieldId="46" dataDxfId="485" totalsRowDxfId="484"/>
    <tableColumn id="47" xr3:uid="{6AF72223-27EE-4CFA-9C64-F4B94F3FFE6D}" uniqueName="47" name="Kanon etc." totalsRowFunction="custom" queryTableFieldId="47" totalsRowDxfId="483">
      <totalsRowFormula>COUNTIF(KDA[Kanon etc.],"x")</totalsRowFormula>
    </tableColumn>
    <tableColumn id="48" xr3:uid="{FFED3A78-6BF7-45D9-8E3A-3517FCD679B2}" uniqueName="48" name="Paarden en/of koetsen" totalsRowFunction="custom" queryTableFieldId="48" totalsRowDxfId="482">
      <totalsRowFormula>COUNTIF(KDA[Paarden en/of koetsen],"x")</totalsRowFormula>
    </tableColumn>
    <tableColumn id="49" xr3:uid="{FFCB43B4-8315-475A-BBDA-92F96CBE0CD8}" uniqueName="49" name="Toelichting/opmerkingen" queryTableFieldId="49" dataDxfId="481" totalsRowDxfId="480"/>
    <tableColumn id="50" xr3:uid="{AC191752-224D-4115-A7BE-53E55432DC01}" uniqueName="50" name="Inzending-ID" queryTableFieldId="50" dataDxfId="479" totalsRowDxfId="478"/>
    <tableColumn id="51" xr3:uid="{61C71225-CE38-47AC-831C-29EAF9AE3EEF}" uniqueName="51" name="Inzenddatum" queryTableFieldId="51" dataDxfId="477" totalsRowDxfId="476"/>
    <tableColumn id="75" xr3:uid="{DF5485A7-BC31-4665-A9CD-69FEC0D3A0B6}" uniqueName="75" name="Date Updated" queryTableFieldId="93" dataDxfId="475" totalsRowDxfId="474"/>
    <tableColumn id="52" xr3:uid="{E5C749FC-4350-4DB1-AC14-61DCC8E3341A}" uniqueName="52" name="Naam van het hoofdkorps" queryTableFieldId="52" totalsRowDxfId="473"/>
    <tableColumn id="53" xr3:uid="{2210D00F-2519-4A0D-98B7-308F2AB1CA8D}" uniqueName="53" name="Zal op treden als (hoofdkorps)" queryTableFieldId="53" totalsRowDxfId="472"/>
    <tableColumn id="54" xr3:uid="{1F48BFE0-9CF5-49D7-B56B-84669B0D9436}" uniqueName="54" name="Vorm van twee muziekwerken (hoofdkorps)" queryTableFieldId="54" totalsRowDxfId="471"/>
    <tableColumn id="55" xr3:uid="{8F835307-A4DB-4825-B075-B613CBD852FA}" uniqueName="55" name="Zal uitkomen in de: (hoofdkorps)" queryTableFieldId="55" totalsRowDxfId="470"/>
    <tableColumn id="56" xr3:uid="{CA6ECD62-1A79-4686-9FBA-442FFFA474CC}" uniqueName="56" name="Muziekwerk1 (hoofdkorps)" queryTableFieldId="56" totalsRowDxfId="469"/>
    <tableColumn id="57" xr3:uid="{2980ED93-7393-4FD4-B05B-3124BFDD07A6}" uniqueName="57" name="Muziekwerk2 (hoofdkorps)" queryTableFieldId="57" totalsRowDxfId="468"/>
    <tableColumn id="58" xr3:uid="{1067520B-6F08-4692-8C03-EFACEEE9E679}" uniqueName="58" name="Korps bestaat uit ... deelnemers (hoofdkorps)" queryTableFieldId="58" dataDxfId="467" totalsRowDxfId="466"/>
    <tableColumn id="59" xr3:uid="{844D4ACC-4EB1-49D5-A2BF-A492647995F0}" uniqueName="59" name="Naam van het 2e korps" queryTableFieldId="59" totalsRowDxfId="465"/>
    <tableColumn id="60" xr3:uid="{B4C4C3CB-7EC3-4F60-A3B4-688D7786AA3C}" uniqueName="60" name="Zal op treden als (2e korps)" queryTableFieldId="60" totalsRowDxfId="464"/>
    <tableColumn id="61" xr3:uid="{AC1F0C8C-2274-4694-95F2-56D38F5823DF}" uniqueName="61" name="Vorm van twee muziekwerken (2e korps)" queryTableFieldId="61" totalsRowDxfId="463"/>
    <tableColumn id="62" xr3:uid="{B3251CE6-E945-4363-B0B0-8CFB87E14B04}" uniqueName="62" name="Zal uitkomen in de: (2e korps)" queryTableFieldId="62" totalsRowDxfId="462"/>
    <tableColumn id="63" xr3:uid="{82F79EC1-BABD-4651-95B5-EC56E3D7F27D}" uniqueName="63" name="Muziekwerk1 (2e korps)" queryTableFieldId="63" totalsRowDxfId="461"/>
    <tableColumn id="64" xr3:uid="{3115842D-1211-4573-A071-481B1AD5D1B5}" uniqueName="64" name="Muziekwerk2 (2e korps)" queryTableFieldId="64" dataDxfId="460" totalsRowDxfId="459"/>
    <tableColumn id="65" xr3:uid="{31512E68-61BE-4B4E-9739-D7EDFE57C6D9}" uniqueName="65" name="Korps bestaat uit ... deelnemers (2e korps)" queryTableFieldId="65" totalsRowDxfId="458"/>
    <tableColumn id="69" xr3:uid="{F621A4FD-C2AC-43F2-B8C7-A1C49692F415}" uniqueName="69" name="Mechanische muziek" queryTableFieldId="69" dataDxfId="457" totalsRowDxfId="456"/>
    <tableColumn id="66" xr3:uid="{312CDF19-2DCB-490A-8052-DD9F42AFB7DD}" uniqueName="66" name="Onderdelen" queryTableFieldId="66" dataDxfId="455" totalsRowDxfId="454"/>
    <tableColumn id="67" xr3:uid="{20A6A111-B6B9-4A3C-949D-2D5F3F2463CC}" uniqueName="67" name="Secties" queryTableFieldId="67" dataDxfId="453" totalsRowDxfId="452"/>
    <tableColumn id="68" xr3:uid="{AAE06610-1276-4DD6-9CAD-863DA3C40779}" uniqueName="68" name="Leeftijdscategorie" queryTableFieldId="68" dataDxfId="451" totalsRowDxfId="450"/>
    <tableColumn id="70" xr3:uid="{34BF71AC-4951-4715-BE87-90E791389154}" uniqueName="70" name="Aantal opgegeven majorettes" totalsRowFunction="sum" queryTableFieldId="70" totalsRowDxfId="449"/>
    <tableColumn id="78" xr3:uid="{5D3F3AC7-30D0-0C4E-9C2A-F176D320E02F}" uniqueName="78" name="Column1" queryTableFieldId="124" dataDxfId="44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5DD99D-2F07-4FE5-B31E-FFC68007A593}" name="KDRvNB" displayName="KDRvNB" ref="A6:BW21" tableType="queryTable" totalsRowCount="1" headerRowDxfId="447" dataDxfId="446" totalsRowDxfId="445">
  <autoFilter ref="A6:BW20" xr:uid="{7B5DD99D-2F07-4FE5-B31E-FFC68007A593}"/>
  <tableColumns count="75">
    <tableColumn id="1" xr3:uid="{B42082E0-74DB-4949-8E35-E9A859804A26}" uniqueName="1" name="Kringdag" totalsRowLabel="Totaal" queryTableFieldId="1" dataDxfId="444"/>
    <tableColumn id="2" xr3:uid="{47866B58-4A45-45DB-8349-C2FBE6042C02}" uniqueName="2" name="Ver.nr" queryTableFieldId="2" dataDxfId="443"/>
    <tableColumn id="3" xr3:uid="{D5B235C5-C286-495E-BCBA-47745390A66E}" uniqueName="3" name="Naam vereniging" totalsRowFunction="count" queryTableFieldId="3" dataDxfId="442"/>
    <tableColumn id="4" xr3:uid="{FC31E2DE-14C2-4E55-85F8-E0109E214D05}" uniqueName="4" name="Delegatie" totalsRowFunction="custom" queryTableFieldId="4" dataDxfId="441" totalsRowDxfId="440">
      <totalsRowFormula>COUNTIF(KDRvNB[Delegatie],"x")</totalsRowFormula>
    </tableColumn>
    <tableColumn id="5" xr3:uid="{743BD746-74B9-4A86-A1CA-CBE9896E6A85}" uniqueName="5" name="Muziekkorps bij mars en defilé" totalsRowFunction="custom" queryTableFieldId="5" dataDxfId="439" totalsRowDxfId="438">
      <totalsRowFormula>COUNTIF(KDRvNB[Muziekkorps bij mars en defilé],"x")</totalsRowFormula>
    </tableColumn>
    <tableColumn id="6" xr3:uid="{D1D3EC3D-8B9F-47A1-9A70-923F51EB8A10}" uniqueName="6" name="Deeln. jeugdkoningschieten" totalsRowFunction="custom" queryTableFieldId="6" dataDxfId="437" totalsRowDxfId="436">
      <totalsRowFormula>COUNTIF(KDRvNB[Deeln. jeugdkoningschieten],"x")</totalsRowFormula>
    </tableColumn>
    <tableColumn id="7" xr3:uid="{39C00582-4386-4EEA-B883-3387D078164A}" uniqueName="7" name="Maj. Senioren jureren bij mars" totalsRowFunction="custom" queryTableFieldId="7" dataDxfId="435" totalsRowDxfId="434">
      <totalsRowFormula>COUNTIF(KDRvNB[Maj. Senioren jureren bij mars],"x")</totalsRowFormula>
    </tableColumn>
    <tableColumn id="8" xr3:uid="{4E9FA65C-BE60-48DA-B279-01D2C843F0E0}" uniqueName="8" name="Maj. Jeugd jureren bij mars" totalsRowFunction="custom" queryTableFieldId="8" dataDxfId="433" totalsRowDxfId="432">
      <totalsRowFormula>COUNTIF(KDRvNB[Maj. Jeugd jureren bij mars],"x")</totalsRowFormula>
    </tableColumn>
    <tableColumn id="9" xr3:uid="{EFA0D6B1-D99C-40A9-86CF-608DA41F1972}" uniqueName="9" name="Korps senioren" totalsRowFunction="count" queryTableFieldId="9" dataDxfId="431" totalsRowDxfId="430"/>
    <tableColumn id="10" xr3:uid="{632564B9-80BF-4EE0-AD7D-B7AD5B403386}" uniqueName="10" name="Junioren korps 1" totalsRowFunction="count" queryTableFieldId="106" totalsRowDxfId="429"/>
    <tableColumn id="11" xr3:uid="{2BBE822F-4082-4C0F-89C6-E3899B434027}" uniqueName="11" name="Junioren korps 2" totalsRowFunction="count" queryTableFieldId="107" totalsRowDxfId="428"/>
    <tableColumn id="26" xr3:uid="{D49E85C0-A527-4F96-8273-342DE4E6468D}" uniqueName="26" name="Aspiranten korps 1" totalsRowFunction="count" queryTableFieldId="108" totalsRowDxfId="427"/>
    <tableColumn id="30" xr3:uid="{D5CC78F7-E3D4-4BA1-8F91-7CAFE6279E9C}" uniqueName="30" name="Aspiranten korps 2" totalsRowFunction="count" queryTableFieldId="109" totalsRowDxfId="426"/>
    <tableColumn id="12" xr3:uid="{70A20D86-F728-446F-9730-5B328A909B16}" uniqueName="12" name="Acrobatisch senioren" totalsRowFunction="count" queryTableFieldId="12" dataDxfId="425" totalsRowDxfId="424"/>
    <tableColumn id="13" xr3:uid="{9E02CCEF-987E-4D1E-9F70-0FFFD16E0DCB}" uniqueName="13" name="Acrobatisch junioren" totalsRowFunction="count" queryTableFieldId="13" dataDxfId="423" totalsRowDxfId="422"/>
    <tableColumn id="14" xr3:uid="{3AFD9C15-E86E-4AD5-AFA3-9A2B7390A6E8}" uniqueName="14" name="Acrobatisch aspiranten" totalsRowFunction="count" queryTableFieldId="14" dataDxfId="421" totalsRowDxfId="420"/>
    <tableColumn id="15" xr3:uid="{4595B28A-98C1-4523-85BD-3DDE65724380}" uniqueName="15" name="Show senioren" queryTableFieldId="15" dataDxfId="419" totalsRowDxfId="418"/>
    <tableColumn id="16" xr3:uid="{36C89C09-7EDA-4C43-BFA9-CC5F23DF32C2}" uniqueName="16" name="Show junioren" queryTableFieldId="16" dataDxfId="417" totalsRowDxfId="416"/>
    <tableColumn id="17" xr3:uid="{668F2608-E64B-4D23-A53B-B397B1D7F441}" uniqueName="17" name="Show aspiranten" queryTableFieldId="17" dataDxfId="415" totalsRowDxfId="414"/>
    <tableColumn id="18" xr3:uid="{D48B7191-F089-4D06-99A0-3C94801AA07D}" uniqueName="18" name="Senioren indiv." totalsRowFunction="sum" queryTableFieldId="18" dataDxfId="413" totalsRowDxfId="412"/>
    <tableColumn id="19" xr3:uid="{0EE4F30B-5A5D-4059-8E0A-9547572CE7CD}" uniqueName="19" name="Junioren indiv." totalsRowFunction="sum" queryTableFieldId="19" dataDxfId="411" totalsRowDxfId="410"/>
    <tableColumn id="20" xr3:uid="{FDF7EED4-C61B-4E58-9C3D-5F64668F3F1D}" uniqueName="20" name="Aspiranten indiv." totalsRowFunction="sum" queryTableFieldId="20" dataDxfId="409" totalsRowDxfId="408"/>
    <tableColumn id="21" xr3:uid="{C1F53052-FEDA-4814-A308-72F09F640DEB}" uniqueName="21" name="Sen. ind opgegeven namen" totalsRowFunction="sum" queryTableFieldId="21" dataDxfId="407" totalsRowDxfId="406"/>
    <tableColumn id="22" xr3:uid="{1C6D3A34-19A1-467C-BCCD-7E68ED3883A1}" uniqueName="22" name="Jun. ind opgegeven namen" totalsRowFunction="sum" queryTableFieldId="22" dataDxfId="405" totalsRowDxfId="404"/>
    <tableColumn id="23" xr3:uid="{67353617-011D-4F5D-9E7D-02927430BFEF}" uniqueName="23" name="Asp. ind opgegeven namen" totalsRowFunction="sum" queryTableFieldId="23" dataDxfId="403" totalsRowDxfId="402"/>
    <tableColumn id="24" xr3:uid="{DE9B8CB3-FDA8-419B-96F4-B781AB5D0FA0}" uniqueName="24" name="Hoofdkorps" totalsRowFunction="custom" queryTableFieldId="24" dataDxfId="401" totalsRowDxfId="400">
      <totalsRowFormula>COUNTIF(KDRvNB[Hoofdkorps],"x")</totalsRowFormula>
    </tableColumn>
    <tableColumn id="25" xr3:uid="{4F05E2A0-4138-4D1F-AE2C-2A654429F3D6}" uniqueName="25" name="2e korps" totalsRowFunction="custom" queryTableFieldId="25" dataDxfId="399" totalsRowDxfId="398">
      <totalsRowFormula>COUNTIF(KDRvNB[2e korps],"x")</totalsRowFormula>
    </tableColumn>
    <tableColumn id="31" xr3:uid="{73BAC8BE-23F3-4460-B518-ADAFDEB40510}" uniqueName="31" name="Groepen, teams, ensembles en duo's" totalsRowFunction="sum" queryTableFieldId="74" totalsRowDxfId="397"/>
    <tableColumn id="27" xr3:uid="{82F0E3A4-A915-4065-9F2F-7E6CB47AC3D0}" uniqueName="27" name="Senioren" totalsRowFunction="sum" queryTableFieldId="27" dataDxfId="396" totalsRowDxfId="395"/>
    <tableColumn id="32" xr3:uid="{CF885C7D-918D-4FFB-8613-DC71A36CDBE4}" uniqueName="32" name="Jong volwassene" totalsRowFunction="sum" queryTableFieldId="75" totalsRowDxfId="394"/>
    <tableColumn id="28" xr3:uid="{E85FE71A-C8E3-445C-95F4-06AF9F082A44}" uniqueName="28" name="Junioren" totalsRowFunction="sum" queryTableFieldId="28" dataDxfId="393" totalsRowDxfId="392"/>
    <tableColumn id="29" xr3:uid="{011E5AFC-E767-45D2-BF94-FB0AA9C85AEF}" uniqueName="29" name="Aspiranten" totalsRowFunction="sum" queryTableFieldId="29" dataDxfId="391" totalsRowDxfId="390"/>
    <tableColumn id="35" xr3:uid="{EBB3E55A-D245-437B-9F2B-25F854C76501}" uniqueName="35" name="Opgegeven senioren" totalsRowFunction="sum" queryTableFieldId="76" totalsRowDxfId="389"/>
    <tableColumn id="37" xr3:uid="{E48CD7BD-E051-4F1E-BBE0-802DBA7F8785}" uniqueName="37" name="Opgegeven jong volwassene" totalsRowFunction="sum" queryTableFieldId="77" totalsRowDxfId="388"/>
    <tableColumn id="39" xr3:uid="{1062A42E-CB1E-4CFB-8272-1F3792CD71CA}" uniqueName="39" name="Opgegeven junioren" totalsRowFunction="sum" queryTableFieldId="78" totalsRowDxfId="387"/>
    <tableColumn id="41" xr3:uid="{A7B59E37-143B-4411-88DF-F242A9A06746}" uniqueName="41" name="Opgegeven aspiranten" totalsRowFunction="sum" queryTableFieldId="79" totalsRowDxfId="386"/>
    <tableColumn id="33" xr3:uid="{70B20891-379D-42C9-8759-929B7C801C07}" uniqueName="33" name="Marketentsters" totalsRowFunction="custom" queryTableFieldId="33" dataDxfId="385" totalsRowDxfId="384">
      <totalsRowFormula>COUNTIF(KDRvNB[Marketentsters],"x")</totalsRowFormula>
    </tableColumn>
    <tableColumn id="34" xr3:uid="{FBDAAC23-CCC3-4EC0-BB16-0B31264633F4}" uniqueName="34" name="Luchtgeweer" totalsRowFunction="custom" queryTableFieldId="34" dataDxfId="383" totalsRowDxfId="382">
      <totalsRowFormula>COUNTIF(KDRvNB[Luchtgeweer],"x")</totalsRowFormula>
    </tableColumn>
    <tableColumn id="42" xr3:uid="{24F13D70-9263-4DDF-A235-FD6B8B26266A}" uniqueName="42" name="Aantal luchtgeweerschutters" totalsRowFunction="sum" queryTableFieldId="80" totalsRowDxfId="381"/>
    <tableColumn id="36" xr3:uid="{6CBF3609-5010-4E2C-AC4F-07BFAC337B4F}" uniqueName="36" name="Luchtpistool" totalsRowFunction="custom" queryTableFieldId="36" dataDxfId="380" totalsRowDxfId="379">
      <totalsRowFormula>COUNTIF(KDRvNB[Luchtpistool],"x")</totalsRowFormula>
    </tableColumn>
    <tableColumn id="43" xr3:uid="{C393A973-FD8D-4A10-982E-E97F1A805E28}" uniqueName="43" name="Aantal luchtpistoolschutters" totalsRowFunction="sum" queryTableFieldId="81" totalsRowDxfId="378"/>
    <tableColumn id="40" xr3:uid="{670B83B2-B798-4686-AC31-18B4012ACD32}" uniqueName="40" name="Handboog" totalsRowFunction="custom" queryTableFieldId="40" dataDxfId="377" totalsRowDxfId="376">
      <totalsRowFormula>COUNTIF(KDRvNB[Handboog],"x")</totalsRowFormula>
    </tableColumn>
    <tableColumn id="44" xr3:uid="{E6F794C2-3817-417C-8810-8334633C414B}" uniqueName="44" name="Aantal handboogschutters" totalsRowFunction="sum" queryTableFieldId="82" totalsRowDxfId="375"/>
    <tableColumn id="38" xr3:uid="{9C03B735-F304-466D-A1C4-1C0937DD55E6}" uniqueName="38" name="Kruisboog" totalsRowFunction="custom" queryTableFieldId="38" dataDxfId="374" totalsRowDxfId="373">
      <totalsRowFormula>COUNTIF(KDRvNB[Kruisboog],"x")</totalsRowFormula>
    </tableColumn>
    <tableColumn id="71" xr3:uid="{03EB338E-F00D-40E8-907E-B97BDC6559CA}" uniqueName="71" name="Aantal kruisboogschutters" totalsRowFunction="sum" queryTableFieldId="83" totalsRowDxfId="372"/>
    <tableColumn id="72" xr3:uid="{285F447E-7326-45B3-8150-74F29EB49BB2}" uniqueName="72" name="Luchtgeweer jeugd niet ouder dan 17 jaar." totalsRowFunction="custom" queryTableFieldId="84" dataDxfId="371" totalsRowDxfId="370">
      <totalsRowFormula>COUNTIF(KDRvNB[Luchtgeweer jeugd niet ouder dan 17 jaar.],"x")</totalsRowFormula>
    </tableColumn>
    <tableColumn id="73" xr3:uid="{3A67694F-3F22-4A63-943B-CAD44BC1951B}" uniqueName="73" name="Aantal korpsen" totalsRowFunction="sum" queryTableFieldId="85" totalsRowDxfId="369"/>
    <tableColumn id="74" xr3:uid="{C7B1D8C3-CD69-46BB-B8EF-3F0A7B7E812A}" uniqueName="74" name="Opgegeven jeugdkorpsen LG" totalsRowFunction="sum" queryTableFieldId="86" totalsRowDxfId="368"/>
    <tableColumn id="45" xr3:uid="{2E0BDF72-C038-43B2-B6CF-DFB9D6093FA3}" uniqueName="45" name="Totaal aantal deelnemers" totalsRowFunction="sum" queryTableFieldId="45" dataDxfId="367" totalsRowDxfId="366"/>
    <tableColumn id="46" xr3:uid="{5E1BF68D-462C-409C-978D-1318A9143282}" uniqueName="46" name="Waarvan aantal jeugd (t/m 15 jaar)" totalsRowFunction="sum" queryTableFieldId="46" dataDxfId="365" totalsRowDxfId="364"/>
    <tableColumn id="47" xr3:uid="{8A13F570-A52A-4AD2-BC9A-520454870C49}" uniqueName="47" name="Kanon etc." totalsRowFunction="custom" queryTableFieldId="47" dataDxfId="363" totalsRowDxfId="362">
      <totalsRowFormula>COUNTIF(KDRvNB[Kanon etc.],"x")</totalsRowFormula>
    </tableColumn>
    <tableColumn id="48" xr3:uid="{0444CE5A-A537-4AA1-A567-0413645D4AE8}" uniqueName="48" name="Paarden en/of koetsen" totalsRowFunction="custom" queryTableFieldId="48" dataDxfId="361" totalsRowDxfId="360">
      <totalsRowFormula>COUNTIF(KDRvNB[Paarden en/of koetsen],"x")</totalsRowFormula>
    </tableColumn>
    <tableColumn id="49" xr3:uid="{E6CD3893-5116-41A8-997A-AC4CE71AB4D7}" uniqueName="49" name="Toelichting/opmerkingen" queryTableFieldId="49" dataDxfId="359" totalsRowDxfId="358"/>
    <tableColumn id="50" xr3:uid="{D30A42E9-05F3-4D27-AADE-91D7208D65F3}" uniqueName="50" name="Inzending-ID" queryTableFieldId="50" dataDxfId="357" totalsRowDxfId="356"/>
    <tableColumn id="51" xr3:uid="{994F13E0-9F42-4EC0-9C25-32468DC3D4EF}" uniqueName="51" name="Inzenddatum" queryTableFieldId="51" dataDxfId="355" totalsRowDxfId="354"/>
    <tableColumn id="75" xr3:uid="{AACADDA0-B957-4C95-BC88-FFD64633A5C3}" uniqueName="75" name="Date Updated" queryTableFieldId="87" dataDxfId="353" totalsRowDxfId="352"/>
    <tableColumn id="52" xr3:uid="{536E9C37-AE5D-4771-B866-84F7EFC28977}" uniqueName="52" name="Naam van het hoofdkorps" queryTableFieldId="52" dataDxfId="351" totalsRowDxfId="350"/>
    <tableColumn id="53" xr3:uid="{22E584B9-D500-41BB-8BF2-C5EC64BA4A42}" uniqueName="53" name="Zal op treden als (hoofdkorps)" queryTableFieldId="53" dataDxfId="349" totalsRowDxfId="348"/>
    <tableColumn id="54" xr3:uid="{61D13E15-1C39-4998-AA76-3572993DA605}" uniqueName="54" name="Vorm van twee muziekwerken (hoofdkorps)" queryTableFieldId="54" dataDxfId="347" totalsRowDxfId="346"/>
    <tableColumn id="55" xr3:uid="{94ED26B9-C100-4987-8FE7-275434ADD182}" uniqueName="55" name="Zal uitkomen in de: (hoofdkorps)" queryTableFieldId="55" dataDxfId="345" totalsRowDxfId="344"/>
    <tableColumn id="56" xr3:uid="{04D6D9F4-11A1-4E44-A1CE-1D67D85CBCD9}" uniqueName="56" name="Muziekwerk1 (hoofdkorps)" queryTableFieldId="56" dataDxfId="343" totalsRowDxfId="342"/>
    <tableColumn id="57" xr3:uid="{1FCC70C9-1F01-4EE9-9783-A3F86B50143B}" uniqueName="57" name="Muziekwerk2 (hoofdkorps)" queryTableFieldId="57" dataDxfId="341" totalsRowDxfId="340"/>
    <tableColumn id="58" xr3:uid="{4059FC07-4172-4C8D-8C7E-169B90488A40}" uniqueName="58" name="Korps bestaat uit ... deelnemers (hoofdkorps)" queryTableFieldId="58" dataDxfId="339" totalsRowDxfId="338"/>
    <tableColumn id="59" xr3:uid="{642F325A-6533-45FF-8881-86FE0F8A3537}" uniqueName="59" name="Naam van het 2e korps" queryTableFieldId="59" dataDxfId="337" totalsRowDxfId="336"/>
    <tableColumn id="60" xr3:uid="{FD281AB3-5A3D-4BA1-8114-EE4A4C9A4D3E}" uniqueName="60" name="Zal op treden als (2e korps)" queryTableFieldId="60" dataDxfId="335" totalsRowDxfId="334"/>
    <tableColumn id="61" xr3:uid="{01EF27E7-EFAF-43A3-89C4-695FA0FEFEDA}" uniqueName="61" name="Vorm van twee muziekwerken (2e korps)" queryTableFieldId="61" dataDxfId="333" totalsRowDxfId="332"/>
    <tableColumn id="62" xr3:uid="{C9A48CA6-16D8-4CA7-82A7-53D3636C8375}" uniqueName="62" name="Zal uitkomen in de: (2e korps)" queryTableFieldId="62" dataDxfId="331" totalsRowDxfId="330"/>
    <tableColumn id="63" xr3:uid="{EF024D81-620C-4E45-87DB-62BEA0571007}" uniqueName="63" name="Muziekwerk1 (2e korps)" queryTableFieldId="63" dataDxfId="329" totalsRowDxfId="328"/>
    <tableColumn id="64" xr3:uid="{5DDAF5F0-1DBE-4871-8B19-C22FFA31B9BD}" uniqueName="64" name="Muziekwerk2 (2e korps)" queryTableFieldId="64" dataDxfId="327" totalsRowDxfId="326"/>
    <tableColumn id="65" xr3:uid="{76F1C6F1-D484-41E2-AF8C-221FB3C3442F}" uniqueName="65" name="Korps bestaat uit ... deelnemers (2e korps)" queryTableFieldId="65" dataDxfId="325" totalsRowDxfId="324"/>
    <tableColumn id="69" xr3:uid="{8723417E-0056-48DB-BD7C-CFD726D1E90E}" uniqueName="69" name="Mechanische muziek" queryTableFieldId="69" dataDxfId="323" totalsRowDxfId="322"/>
    <tableColumn id="66" xr3:uid="{A258ECB5-EA42-47A3-9965-66B4540827F3}" uniqueName="66" name="Onderdelen" queryTableFieldId="66" dataDxfId="321" totalsRowDxfId="320"/>
    <tableColumn id="67" xr3:uid="{276716A1-6C96-4B1C-ABEA-171ACB050A77}" uniqueName="67" name="Secties" queryTableFieldId="67" dataDxfId="319" totalsRowDxfId="318"/>
    <tableColumn id="68" xr3:uid="{07574B23-6B09-4583-80FD-023D2E8ACABE}" uniqueName="68" name="Leeftijdscategorie" queryTableFieldId="68" dataDxfId="317" totalsRowDxfId="316"/>
    <tableColumn id="70" xr3:uid="{7CBECFE5-28C8-4F6D-94C3-BF35CCED0979}" uniqueName="70" name="Aantal opgegeven majorettes" totalsRowFunction="sum" queryTableFieldId="70" dataDxfId="315" totalsRowDxfId="314"/>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8B779F-4064-423E-8082-2381B0C548D1}" name="LJ" displayName="LJ" ref="A6:BW7" tableType="queryTable" totalsRowShown="0" headerRowDxfId="313">
  <autoFilter ref="A6:BW7" xr:uid="{4F8B779F-4064-423E-8082-2381B0C548D1}"/>
  <tableColumns count="75">
    <tableColumn id="1" xr3:uid="{5FE8EE3F-AD35-48A6-85F6-BDFB105B0725}" uniqueName="1" name="Kringdag" queryTableFieldId="1" dataDxfId="312"/>
    <tableColumn id="2" xr3:uid="{9BCFCC0D-6A6A-4A94-8347-6671F120F3AC}" uniqueName="2" name="Ver.nr" queryTableFieldId="2" dataDxfId="311"/>
    <tableColumn id="3" xr3:uid="{19B2C186-27FD-419C-B197-8025BF5CFE71}" uniqueName="3" name="Naam vereniging" queryTableFieldId="3" dataDxfId="310"/>
    <tableColumn id="4" xr3:uid="{D3334820-466D-4BDD-B965-0B7E193F3233}" uniqueName="4" name="Delegatie" queryTableFieldId="4" dataDxfId="309"/>
    <tableColumn id="5" xr3:uid="{46317316-8382-49B2-BA5D-6FEDF3FD7884}" uniqueName="5" name="Muziekkorps bij mars en defilé" queryTableFieldId="5" dataDxfId="308"/>
    <tableColumn id="6" xr3:uid="{13D83B93-BCD1-4CD4-9C3F-433F446A5723}" uniqueName="6" name="Deeln. jeugdkoningschieten" queryTableFieldId="6" dataDxfId="307"/>
    <tableColumn id="7" xr3:uid="{89928C9B-C271-4E70-965C-A19CB2581977}" uniqueName="7" name="Maj. Senioren jureren bij mars" queryTableFieldId="7" dataDxfId="306"/>
    <tableColumn id="8" xr3:uid="{02A99D9F-6464-4218-A98E-811C81615D5C}" uniqueName="8" name="Maj. Jeugd jureren bij mars" queryTableFieldId="8" dataDxfId="305"/>
    <tableColumn id="9" xr3:uid="{CAD36238-5F96-47BD-B57F-DD6532718290}" uniqueName="9" name="Korps senioren" queryTableFieldId="9" dataDxfId="304"/>
    <tableColumn id="10" xr3:uid="{E85CFA93-54A2-4E31-85FE-7FEFD8641F8E}" uniqueName="10" name="Junioren korps 1" queryTableFieldId="104"/>
    <tableColumn id="11" xr3:uid="{C6BACE44-D4CB-4215-A3C3-539AAB5FB41C}" uniqueName="11" name="Junioren korps 2" queryTableFieldId="105"/>
    <tableColumn id="26" xr3:uid="{629685E4-7852-4956-97AC-86BF9C7AC0F9}" uniqueName="26" name="Aspiranten korps 1" queryTableFieldId="106"/>
    <tableColumn id="30" xr3:uid="{F8BDC429-9CDD-4125-AD5F-52CD2851CBA4}" uniqueName="30" name="Aspiranten korps 2" queryTableFieldId="107"/>
    <tableColumn id="12" xr3:uid="{0671084D-0D3B-4D86-86A9-2FCF796FF887}" uniqueName="12" name="Acrobatisch senioren" queryTableFieldId="12" dataDxfId="303"/>
    <tableColumn id="13" xr3:uid="{652975E7-D8A2-418E-9E7D-70CF9AC7B67B}" uniqueName="13" name="Acrobatisch junioren" queryTableFieldId="13" dataDxfId="302"/>
    <tableColumn id="14" xr3:uid="{7D143A4D-59D1-43DC-9801-318329105B70}" uniqueName="14" name="Acrobatisch aspiranten" queryTableFieldId="14" dataDxfId="301"/>
    <tableColumn id="15" xr3:uid="{22E52461-0B78-4950-B7A2-9190EC07FB64}" uniqueName="15" name="Show senioren" queryTableFieldId="15" dataDxfId="300"/>
    <tableColumn id="16" xr3:uid="{164C10B7-0CCB-4FBA-9EDF-36DD8C3E8585}" uniqueName="16" name="Show junioren" queryTableFieldId="16" dataDxfId="299"/>
    <tableColumn id="17" xr3:uid="{7F98B6E0-7F7C-4A4D-BEF0-395CC5476215}" uniqueName="17" name="Show aspiranten" queryTableFieldId="17" dataDxfId="298"/>
    <tableColumn id="18" xr3:uid="{25275654-3B66-4EC8-A412-DF64E362810F}" uniqueName="18" name="Senioren indiv." queryTableFieldId="18" dataDxfId="297"/>
    <tableColumn id="19" xr3:uid="{E061961B-1A71-4111-B704-2167D4FDCA04}" uniqueName="19" name="Junioren indiv." queryTableFieldId="19" dataDxfId="296"/>
    <tableColumn id="20" xr3:uid="{7986702B-614E-495B-88C8-CC1A210170CF}" uniqueName="20" name="Aspiranten indiv." queryTableFieldId="20" dataDxfId="295"/>
    <tableColumn id="21" xr3:uid="{A5461B4C-B2D1-498B-A848-42A3BC7A8BC4}" uniqueName="21" name="Sen. ind opgegeven namen" queryTableFieldId="21" dataDxfId="294"/>
    <tableColumn id="22" xr3:uid="{BEE788A5-74B3-4FB3-907A-7BF2432D6207}" uniqueName="22" name="Jun. ind opgegeven namen" queryTableFieldId="22" dataDxfId="293"/>
    <tableColumn id="23" xr3:uid="{8E05A72F-E53E-401A-8B0B-592CC8CBB173}" uniqueName="23" name="Asp. ind opgegeven namen" queryTableFieldId="23" dataDxfId="292"/>
    <tableColumn id="24" xr3:uid="{D7485158-293F-4E3D-98D2-CF55D58B12AF}" uniqueName="24" name="Hoofdkorps" queryTableFieldId="24" dataDxfId="291"/>
    <tableColumn id="25" xr3:uid="{AB010968-2E7B-460C-8993-AC1D70D3BD4E}" uniqueName="25" name="2e korps" queryTableFieldId="25" dataDxfId="290"/>
    <tableColumn id="31" xr3:uid="{34744077-C62E-48CE-9727-2B1CD76BEDBC}" uniqueName="31" name="Groepen, teams, ensembles en duo's" queryTableFieldId="72"/>
    <tableColumn id="27" xr3:uid="{599500F2-464C-4024-AAAB-8143C92D5AA7}" uniqueName="27" name="Senioren" queryTableFieldId="27" dataDxfId="289"/>
    <tableColumn id="32" xr3:uid="{AAC23FE4-6A55-4F3F-B5DA-621F4A965531}" uniqueName="32" name="Jong volwassene" queryTableFieldId="73"/>
    <tableColumn id="28" xr3:uid="{A995C14A-D6B8-4E52-B230-85D46C534476}" uniqueName="28" name="Junioren" queryTableFieldId="28" dataDxfId="288"/>
    <tableColumn id="29" xr3:uid="{210EE2AB-E41F-4188-A61F-76AB62A874A5}" uniqueName="29" name="Aspiranten" queryTableFieldId="29" dataDxfId="287"/>
    <tableColumn id="38" xr3:uid="{ED65980F-756D-4E2B-9049-AA3434C09965}" uniqueName="38" name="Opgegeven senioren" queryTableFieldId="74"/>
    <tableColumn id="39" xr3:uid="{85A913A2-DB2D-473D-B40F-376E74A1C01D}" uniqueName="39" name="Opgegeven jong volwassene" queryTableFieldId="75"/>
    <tableColumn id="66" xr3:uid="{6F5192E5-1B91-4B51-9EA0-7453F4B7B17A}" uniqueName="66" name="Opgegeven junioren" queryTableFieldId="76"/>
    <tableColumn id="67" xr3:uid="{95B815EB-3996-4F6E-AD75-4CDFD93F7051}" uniqueName="67" name="Opgegeven aspiranten" queryTableFieldId="77"/>
    <tableColumn id="33" xr3:uid="{21ED27EA-920A-476C-A987-C886705272C8}" uniqueName="33" name="Marketentsters" queryTableFieldId="33" dataDxfId="286"/>
    <tableColumn id="34" xr3:uid="{A3734509-3769-4BF8-B534-139916BF52A0}" uniqueName="34" name="Luchtgeweer" queryTableFieldId="34" dataDxfId="285"/>
    <tableColumn id="68" xr3:uid="{F3C084A4-77EF-4E7A-9A92-9EA8703884F5}" uniqueName="68" name="Aantal luchtgeweerschutters" queryTableFieldId="78"/>
    <tableColumn id="35" xr3:uid="{1ED86575-D359-4926-BEF3-9C7AE94C3A86}" uniqueName="35" name="Luchtpistool" queryTableFieldId="35" dataDxfId="284"/>
    <tableColumn id="69" xr3:uid="{2DEBD8E0-C520-46B4-9BA0-A78BFAF216BA}" uniqueName="69" name="Aantal luchtpistoolschutters" queryTableFieldId="79"/>
    <tableColumn id="37" xr3:uid="{067FF6A5-1097-446D-83C7-E12AC30F6D58}" uniqueName="37" name="Handboog" queryTableFieldId="37" dataDxfId="283"/>
    <tableColumn id="70" xr3:uid="{63E98E26-99A4-4F5F-A89F-13E5EB533A70}" uniqueName="70" name="Aantal handboogschutters" queryTableFieldId="80"/>
    <tableColumn id="36" xr3:uid="{02F8BD9B-9513-4067-B58F-BCD37B8D4FA4}" uniqueName="36" name="Kruisboog" queryTableFieldId="36" dataDxfId="282"/>
    <tableColumn id="71" xr3:uid="{EEFF6F95-61D3-4BBB-B11E-D55A71246670}" uniqueName="71" name="Aantal kruisboogschutters" queryTableFieldId="81"/>
    <tableColumn id="72" xr3:uid="{B34522E3-4006-454F-B02C-47071B21675C}" uniqueName="72" name="Luchtgeweer jeugd niet ouder dan 17 jaar." queryTableFieldId="82" dataDxfId="281"/>
    <tableColumn id="73" xr3:uid="{813B1FCC-A6C1-4D1E-9342-C3F8FDE217C5}" uniqueName="73" name="Aantal korpsen" queryTableFieldId="83"/>
    <tableColumn id="74" xr3:uid="{A5007B21-DE97-42AC-9201-C89E60AAADA0}" uniqueName="74" name="Opgegeven jeugdkorpsen LG" queryTableFieldId="84"/>
    <tableColumn id="40" xr3:uid="{D1DF0CC4-6AFA-4F26-94E7-B3FEE75658C3}" uniqueName="40" name="Totaal aantal deelnemers" queryTableFieldId="40" dataDxfId="280"/>
    <tableColumn id="41" xr3:uid="{DDE8DCDB-5F0F-41D4-9355-EDE72098650B}" uniqueName="41" name="Waarvan aantal jeugd (t/m 15 jaar)" queryTableFieldId="41" dataDxfId="279"/>
    <tableColumn id="42" xr3:uid="{4AD23B45-1194-4899-8A72-51863633B198}" uniqueName="42" name="Kanon etc." queryTableFieldId="42" dataDxfId="278"/>
    <tableColumn id="43" xr3:uid="{0D9B4516-9153-4C8A-A67A-D8C61F99DC5C}" uniqueName="43" name="Paarden en/of koetsen" queryTableFieldId="43" dataDxfId="277"/>
    <tableColumn id="44" xr3:uid="{70404585-6E1E-4735-9635-0D99B20FBC26}" uniqueName="44" name="Toelichting/opmerkingen" queryTableFieldId="44" dataDxfId="276"/>
    <tableColumn id="45" xr3:uid="{93E5C4CD-053E-41C7-AD4F-D627752F5406}" uniqueName="45" name="Inzending-ID" queryTableFieldId="45" dataDxfId="275"/>
    <tableColumn id="46" xr3:uid="{28BA3F0A-7B5B-4370-BB77-C1D614B0BA57}" uniqueName="46" name="Inzenddatum" queryTableFieldId="46" dataDxfId="274"/>
    <tableColumn id="75" xr3:uid="{28473866-4557-4C5B-984A-95416A587C6E}" uniqueName="75" name="Date Updated" queryTableFieldId="85" dataDxfId="273"/>
    <tableColumn id="47" xr3:uid="{8BAA550D-B5A2-4704-807E-D080519E7C8E}" uniqueName="47" name="Naam van het hoofdkorps" queryTableFieldId="47" dataDxfId="272"/>
    <tableColumn id="48" xr3:uid="{4C0B3A23-738E-48D6-B7A1-DB4B66FC7108}" uniqueName="48" name="Zal op treden als (hoofdkorps)" queryTableFieldId="48" dataDxfId="271"/>
    <tableColumn id="49" xr3:uid="{978EBC24-9211-4AD4-BA5E-892076319ACD}" uniqueName="49" name="Vorm van twee muziekwerken (hoofdkorps)" queryTableFieldId="49" dataDxfId="270"/>
    <tableColumn id="50" xr3:uid="{5876098D-128A-4F2B-9BDD-05D45807EBB2}" uniqueName="50" name="Zal uitkomen in de: (hoofdkorps)" queryTableFieldId="50" dataDxfId="269"/>
    <tableColumn id="51" xr3:uid="{05A18B09-3195-4A36-B169-BFC361010AF9}" uniqueName="51" name="Muziekwerk1 (hoofdkorps)" queryTableFieldId="51" dataDxfId="268"/>
    <tableColumn id="52" xr3:uid="{080589DF-D751-4E72-A1FF-D1499E799DFF}" uniqueName="52" name="Muziekwerk2 (hoofdkorps)" queryTableFieldId="52" dataDxfId="267"/>
    <tableColumn id="53" xr3:uid="{DBA6CB2B-424D-42B2-AEE2-173CFFC390B3}" uniqueName="53" name="Korps bestaat uit ... deelnemers (hoofdkorps)" queryTableFieldId="53" dataDxfId="266"/>
    <tableColumn id="54" xr3:uid="{0193C038-31CC-4C3D-B86C-79F592AFB69F}" uniqueName="54" name="Naam van het 2e korps" queryTableFieldId="54" dataDxfId="265"/>
    <tableColumn id="55" xr3:uid="{BF390BAF-759F-46A2-B089-A26594BD5AE3}" uniqueName="55" name="Zal op treden als (2e korps)" queryTableFieldId="55" dataDxfId="264"/>
    <tableColumn id="56" xr3:uid="{14E841BE-A956-401D-8BCB-786DD5C94AB2}" uniqueName="56" name="Vorm van twee muziekwerken (2e korps)" queryTableFieldId="56" dataDxfId="263"/>
    <tableColumn id="57" xr3:uid="{6B38B763-EDC5-43F3-B366-D91005BD8A10}" uniqueName="57" name="Zal uitkomen in de: (2e korps)" queryTableFieldId="57" dataDxfId="262"/>
    <tableColumn id="58" xr3:uid="{C7F25D80-94FE-4E9D-97DB-72DBE154F97B}" uniqueName="58" name="Muziekwerk1 (2e korps)" queryTableFieldId="58" dataDxfId="261"/>
    <tableColumn id="59" xr3:uid="{ED2D53AE-F005-432E-AE06-D5BCC146DE7B}" uniqueName="59" name="Muziekwerk2 (2e korps)" queryTableFieldId="59" dataDxfId="260"/>
    <tableColumn id="60" xr3:uid="{58169E12-99B5-492C-8129-4C808E23FA7B}" uniqueName="60" name="Korps bestaat uit ... deelnemers (2e korps)" queryTableFieldId="60" dataDxfId="259"/>
    <tableColumn id="64" xr3:uid="{4D6655B8-62D6-4EAB-A7FB-A89BE3494370}" uniqueName="64" name="Mechanische muziek" queryTableFieldId="64" dataDxfId="258"/>
    <tableColumn id="61" xr3:uid="{A2F2496B-A903-498D-AFCA-BABB37C97D6C}" uniqueName="61" name="Onderdelen" queryTableFieldId="61" dataDxfId="257"/>
    <tableColumn id="62" xr3:uid="{10DCF5A1-FD69-4824-9AC7-CD0F873384CD}" uniqueName="62" name="Secties" queryTableFieldId="62" dataDxfId="256"/>
    <tableColumn id="63" xr3:uid="{489834DB-73B0-4029-AA2F-15D1970AC822}" uniqueName="63" name="Leeftijdscategorie" queryTableFieldId="63" dataDxfId="255"/>
    <tableColumn id="65" xr3:uid="{BAC977F7-6EBE-47F3-A368-FEF310D3AC6C}" uniqueName="65" name="Aantal opgegeven majorettes" queryTableFieldId="65" dataDxfId="25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BE24FE-77E5-4EA1-8B0F-4712CD50A33E}" name="FSD" displayName="FSD" ref="A6:BW48" tableType="queryTable" totalsRowCount="1" headerRowDxfId="253" totalsRowDxfId="252">
  <autoFilter ref="A6:BW47" xr:uid="{73BE24FE-77E5-4EA1-8B0F-4712CD50A33E}"/>
  <tableColumns count="75">
    <tableColumn id="1" xr3:uid="{230D35B1-318E-4FC7-8CFE-CB72561A7C78}" uniqueName="1" name="Kringdag" totalsRowLabel="Totaal" queryTableFieldId="1" dataDxfId="251"/>
    <tableColumn id="2" xr3:uid="{98CF1A57-9A64-434E-8F7D-6C3D1E7CC1F3}" uniqueName="2" name="Ver.nr" queryTableFieldId="2" dataDxfId="250"/>
    <tableColumn id="3" xr3:uid="{A1938DE9-F00D-4BA8-8A5F-EE6F77AD45DA}" uniqueName="3" name="Naam vereniging" totalsRowFunction="count" queryTableFieldId="3" dataDxfId="249"/>
    <tableColumn id="4" xr3:uid="{8445C7DB-35BB-43B8-8DFD-7447E65AEC62}" uniqueName="4" name="Delegatie" totalsRowFunction="custom" queryTableFieldId="4" dataDxfId="248" totalsRowDxfId="247">
      <totalsRowFormula>COUNTIF(FSD[Delegatie],"x")</totalsRowFormula>
    </tableColumn>
    <tableColumn id="5" xr3:uid="{A7D8FD7D-5F90-4D5B-9819-8E1A5B2EAE3F}" uniqueName="5" name="Muziekkorps bij mars en defilé" totalsRowFunction="custom" queryTableFieldId="5" dataDxfId="246" totalsRowDxfId="245">
      <totalsRowFormula>COUNTIF(FSD[Muziekkorps bij mars en defilé],"x")</totalsRowFormula>
    </tableColumn>
    <tableColumn id="6" xr3:uid="{51EF7B06-BDD6-435B-A5D6-9D703B26EE37}" uniqueName="6" name="Deeln. jeugdkoningschieten" totalsRowFunction="custom" queryTableFieldId="6" dataDxfId="244" totalsRowDxfId="243">
      <totalsRowFormula>COUNTIF(FSD[Deeln. jeugdkoningschieten],"x")</totalsRowFormula>
    </tableColumn>
    <tableColumn id="7" xr3:uid="{FFA6CD71-9DBE-4EB0-AEE3-60F267D05DF9}" uniqueName="7" name="Maj. Senioren jureren bij mars" totalsRowFunction="custom" queryTableFieldId="7" dataDxfId="242" totalsRowDxfId="241">
      <totalsRowFormula>COUNTIF(FSD[Maj. Senioren jureren bij mars],"x")</totalsRowFormula>
    </tableColumn>
    <tableColumn id="8" xr3:uid="{322A5420-10BF-47E2-9B31-CA992EDA8F66}" uniqueName="8" name="Maj. Jeugd jureren bij mars" totalsRowFunction="custom" queryTableFieldId="8" dataDxfId="240" totalsRowDxfId="239">
      <totalsRowFormula>COUNTIF(FSD[Maj. Jeugd jureren bij mars],"x")</totalsRowFormula>
    </tableColumn>
    <tableColumn id="9" xr3:uid="{D68C2110-07D1-4FBE-AA9F-E4CC6B7C3081}" uniqueName="9" name="Korps senioren" totalsRowFunction="count" queryTableFieldId="9" dataDxfId="238" totalsRowDxfId="237"/>
    <tableColumn id="10" xr3:uid="{0E9FDA67-0BA2-440B-862C-AA13736A58A1}" uniqueName="10" name="Junioren korps 1" totalsRowFunction="count" queryTableFieldId="106" totalsRowDxfId="236"/>
    <tableColumn id="11" xr3:uid="{F1D8E8E6-F687-49A4-9578-08E116AFF37A}" uniqueName="11" name="Junioren korps 2" totalsRowFunction="count" queryTableFieldId="107" totalsRowDxfId="235"/>
    <tableColumn id="26" xr3:uid="{F2C10C82-BF45-4F2D-9F7A-DEBF4CCE992A}" uniqueName="26" name="Aspiranten korps 1" totalsRowFunction="count" queryTableFieldId="108" totalsRowDxfId="234"/>
    <tableColumn id="30" xr3:uid="{FCCB5B66-5964-450C-BBFA-4BA2596DC701}" uniqueName="30" name="Aspiranten korps 2" totalsRowFunction="count" queryTableFieldId="109" totalsRowDxfId="233"/>
    <tableColumn id="12" xr3:uid="{C04A0F2F-F380-4FEF-A0BC-8F43D2154B1F}" uniqueName="12" name="Acrobatisch senioren" totalsRowFunction="count" queryTableFieldId="12" dataDxfId="232" totalsRowDxfId="231"/>
    <tableColumn id="13" xr3:uid="{04F2402D-62D5-4A1D-96B1-681E01E2DFEA}" uniqueName="13" name="Acrobatisch junioren" totalsRowFunction="count" queryTableFieldId="13" dataDxfId="230" totalsRowDxfId="229"/>
    <tableColumn id="14" xr3:uid="{B577E129-427F-4CFB-B068-049EF4DE88AA}" uniqueName="14" name="Acrobatisch aspiranten" totalsRowFunction="count" queryTableFieldId="14" dataDxfId="228" totalsRowDxfId="227"/>
    <tableColumn id="15" xr3:uid="{40902506-8CD4-4DCB-99D7-1B06FAF7730E}" uniqueName="15" name="Show senioren" queryTableFieldId="15" dataDxfId="226" totalsRowDxfId="225"/>
    <tableColumn id="16" xr3:uid="{21333790-5ACD-4D58-A41B-95FAEC1B8A0E}" uniqueName="16" name="Show junioren" queryTableFieldId="16" dataDxfId="224" totalsRowDxfId="223"/>
    <tableColumn id="17" xr3:uid="{899CA3AD-01FC-4667-991A-EAC096428C13}" uniqueName="17" name="Show aspiranten" queryTableFieldId="17" dataDxfId="222" totalsRowDxfId="221"/>
    <tableColumn id="18" xr3:uid="{3F07E718-944B-45A3-A734-ABE5359A2AEF}" uniqueName="18" name="Senioren indiv." totalsRowFunction="sum" queryTableFieldId="18" dataDxfId="220" totalsRowDxfId="219"/>
    <tableColumn id="19" xr3:uid="{9D93CF78-FCC8-4A56-B8C4-84EB08B038D5}" uniqueName="19" name="Junioren indiv." totalsRowFunction="sum" queryTableFieldId="19" dataDxfId="218" totalsRowDxfId="217"/>
    <tableColumn id="20" xr3:uid="{E715C39E-E43E-4748-BF18-4CF54EDCB640}" uniqueName="20" name="Aspiranten indiv." totalsRowFunction="sum" queryTableFieldId="20" dataDxfId="216" totalsRowDxfId="215"/>
    <tableColumn id="21" xr3:uid="{AFECDED6-B2B5-4C11-9125-057CBA088D19}" uniqueName="21" name="Sen. ind opgegeven namen" totalsRowFunction="sum" queryTableFieldId="21" dataDxfId="214" totalsRowDxfId="213"/>
    <tableColumn id="22" xr3:uid="{72800143-0F64-4DE9-B866-EC2A09B6CB7C}" uniqueName="22" name="Jun. ind opgegeven namen" totalsRowFunction="sum" queryTableFieldId="22" dataDxfId="212" totalsRowDxfId="211"/>
    <tableColumn id="23" xr3:uid="{8D305989-27B8-4B01-8E74-8E944F746FA7}" uniqueName="23" name="Asp. ind opgegeven namen" totalsRowFunction="sum" queryTableFieldId="23" dataDxfId="210" totalsRowDxfId="209"/>
    <tableColumn id="24" xr3:uid="{12EA3F67-7A37-49EE-B7CD-CE094D8154B6}" uniqueName="24" name="Hoofdkorps" totalsRowFunction="custom" queryTableFieldId="24" dataDxfId="208" totalsRowDxfId="207">
      <totalsRowFormula>COUNTIF(FSD[Hoofdkorps],"x")</totalsRowFormula>
    </tableColumn>
    <tableColumn id="25" xr3:uid="{FA573B34-245C-47F3-81F2-0F464CA67CEA}" uniqueName="25" name="2e korps" totalsRowFunction="custom" queryTableFieldId="25" dataDxfId="206" totalsRowDxfId="205">
      <totalsRowFormula>COUNTIF(FSD[2e korps],"x")</totalsRowFormula>
    </tableColumn>
    <tableColumn id="31" xr3:uid="{C6B6683E-5C96-41A9-B01B-566544560117}" uniqueName="31" name="Groepen, teams, ensembles en duo's" totalsRowFunction="sum" queryTableFieldId="74" totalsRowDxfId="204"/>
    <tableColumn id="27" xr3:uid="{E6390A79-1F93-4025-9782-192BF3044E75}" uniqueName="27" name="Senioren" totalsRowFunction="sum" queryTableFieldId="27" dataDxfId="203" totalsRowDxfId="202"/>
    <tableColumn id="32" xr3:uid="{47F07FDD-ACC0-47B9-B47E-BE6237E27AC1}" uniqueName="32" name="Jong volwassene" totalsRowFunction="sum" queryTableFieldId="75" totalsRowDxfId="201"/>
    <tableColumn id="28" xr3:uid="{95FC90F7-6D74-41B8-BE65-1833DDE14332}" uniqueName="28" name="Junioren" totalsRowFunction="sum" queryTableFieldId="28" dataDxfId="200" totalsRowDxfId="199"/>
    <tableColumn id="29" xr3:uid="{5360D20E-C4EF-427A-B9FC-486AFA38F7BE}" uniqueName="29" name="Aspiranten" totalsRowFunction="sum" queryTableFieldId="29" dataDxfId="198" totalsRowDxfId="197"/>
    <tableColumn id="35" xr3:uid="{6EA4EA09-F769-4C5C-B075-37634BC565EA}" uniqueName="35" name="Opgegeven senioren" totalsRowFunction="sum" queryTableFieldId="76" totalsRowDxfId="196"/>
    <tableColumn id="37" xr3:uid="{2F4AE8EB-4AC3-462E-AB76-EF60F2C3EBF3}" uniqueName="37" name="Opgegeven jong volwassene" totalsRowFunction="sum" queryTableFieldId="77" totalsRowDxfId="195"/>
    <tableColumn id="39" xr3:uid="{B489B175-B462-41B5-9F40-3A706D5B579C}" uniqueName="39" name="Opgegeven junioren" totalsRowFunction="sum" queryTableFieldId="78" totalsRowDxfId="194"/>
    <tableColumn id="41" xr3:uid="{F22B8BD7-4BC7-47C5-9EFB-A26B25F5DF8B}" uniqueName="41" name="Opgegeven aspiranten" totalsRowFunction="sum" queryTableFieldId="79" totalsRowDxfId="193"/>
    <tableColumn id="33" xr3:uid="{57A237AB-A441-4825-8F6B-31D522535C94}" uniqueName="33" name="Marketentsters" totalsRowFunction="custom" queryTableFieldId="33" dataDxfId="192" totalsRowDxfId="191">
      <totalsRowFormula>COUNTIF(FSD[Marketentsters],"x")</totalsRowFormula>
    </tableColumn>
    <tableColumn id="34" xr3:uid="{CFF4B901-4816-4499-B8C8-FBB5CC26234D}" uniqueName="34" name="Luchtgeweer" totalsRowFunction="custom" queryTableFieldId="34" dataDxfId="190" totalsRowDxfId="189">
      <totalsRowFormula>COUNTIF(FSD[Luchtgeweer],"x")</totalsRowFormula>
    </tableColumn>
    <tableColumn id="42" xr3:uid="{FEA14974-141D-4214-9AD9-CDA825A0E3E5}" uniqueName="42" name="Aantal luchtgeweerschutters" totalsRowFunction="sum" queryTableFieldId="80" dataDxfId="188" totalsRowDxfId="187"/>
    <tableColumn id="36" xr3:uid="{69DE0837-B493-4676-93AE-802895BBB46E}" uniqueName="36" name="Luchtpistool" totalsRowFunction="custom" queryTableFieldId="36" dataDxfId="186" totalsRowDxfId="185">
      <totalsRowFormula>COUNTIF(FSD[Luchtpistool],"x")</totalsRowFormula>
    </tableColumn>
    <tableColumn id="43" xr3:uid="{128AC803-FF09-4C99-9BFD-05E8090ADB1F}" uniqueName="43" name="Aantal luchtpistoolschutters" totalsRowFunction="sum" queryTableFieldId="81" dataDxfId="184" totalsRowDxfId="183"/>
    <tableColumn id="40" xr3:uid="{1DEABBF7-2D57-432C-8D04-ED7529478AA1}" uniqueName="40" name="Handboog" totalsRowFunction="custom" queryTableFieldId="40" dataDxfId="182" totalsRowDxfId="181">
      <totalsRowFormula>COUNTIF(FSD[Handboog],"x")</totalsRowFormula>
    </tableColumn>
    <tableColumn id="44" xr3:uid="{761688DF-91FF-486E-BDCE-FF3E5AA8ACCE}" uniqueName="44" name="Aantal handboogschutters" totalsRowFunction="sum" queryTableFieldId="82" dataDxfId="180" totalsRowDxfId="179"/>
    <tableColumn id="38" xr3:uid="{7D5EF677-5F60-4277-AC20-0845BAEE465E}" uniqueName="38" name="Kruisboog" totalsRowFunction="custom" queryTableFieldId="38" dataDxfId="178" totalsRowDxfId="177">
      <totalsRowFormula>COUNTIF(FSD[Kruisboog],"x")</totalsRowFormula>
    </tableColumn>
    <tableColumn id="71" xr3:uid="{2C9358B9-7475-489E-9694-B3B4C97B0B32}" uniqueName="71" name="Aantal kruisboogschutters" totalsRowFunction="sum" queryTableFieldId="83" dataDxfId="176" totalsRowDxfId="175"/>
    <tableColumn id="72" xr3:uid="{A07D6C10-E787-427D-A2EC-DBBD57EC75FA}" uniqueName="72" name="Luchtgeweer jeugd niet ouder dan 17 jaar." totalsRowFunction="custom" queryTableFieldId="84" dataDxfId="174" totalsRowDxfId="173">
      <totalsRowFormula>COUNTIF(FSD[Luchtgeweer jeugd niet ouder dan 17 jaar.],"x")</totalsRowFormula>
    </tableColumn>
    <tableColumn id="73" xr3:uid="{0EB729CA-DC52-4DAF-81A1-F4CA9E39AC96}" uniqueName="73" name="Aantal korpsen" totalsRowFunction="sum" queryTableFieldId="85" totalsRowDxfId="172"/>
    <tableColumn id="74" xr3:uid="{4B828B0D-4DEA-4EB7-9E8D-62006A9F546F}" uniqueName="74" name="Opgegeven jeugdkorpsen LG" totalsRowFunction="sum" queryTableFieldId="86" totalsRowDxfId="171"/>
    <tableColumn id="45" xr3:uid="{3DDEB7CD-1ACF-477A-850B-DC26C9544089}" uniqueName="45" name="Totaal aantal deelnemers" totalsRowFunction="sum" queryTableFieldId="45" dataDxfId="170" totalsRowDxfId="169"/>
    <tableColumn id="46" xr3:uid="{03BCDF0D-E655-4FDC-9FDF-714C72EF21E0}" uniqueName="46" name="Waarvan aantal jeugd (t/m 15 jaar)" totalsRowFunction="sum" queryTableFieldId="46" dataDxfId="168" totalsRowDxfId="167"/>
    <tableColumn id="47" xr3:uid="{1848C3AC-DA5D-414D-86CC-5716528A6449}" uniqueName="47" name="Kanon etc." totalsRowFunction="custom" queryTableFieldId="47" dataDxfId="166" totalsRowDxfId="165">
      <totalsRowFormula>COUNTIF(FSD[Kanon etc.],"x")</totalsRowFormula>
    </tableColumn>
    <tableColumn id="48" xr3:uid="{9536F103-194A-4528-8CF5-42BD315ACC0E}" uniqueName="48" name="Paarden en/of koetsen" totalsRowFunction="custom" queryTableFieldId="48" dataDxfId="164" totalsRowDxfId="163">
      <totalsRowFormula>COUNTIF(FSD[Paarden en/of koetsen],"x")</totalsRowFormula>
    </tableColumn>
    <tableColumn id="49" xr3:uid="{D69853E1-38FA-4FFD-BCDE-760AAEFA4E6D}" uniqueName="49" name="Toelichting/opmerkingen" queryTableFieldId="49" dataDxfId="162" totalsRowDxfId="161"/>
    <tableColumn id="50" xr3:uid="{2D4D71CB-4C44-4624-B6A1-CA83504691E4}" uniqueName="50" name="Inzending-ID" queryTableFieldId="50" dataDxfId="160" totalsRowDxfId="159"/>
    <tableColumn id="51" xr3:uid="{F8FC0A29-19D2-441E-ABBC-6C9448E2F8E5}" uniqueName="51" name="Inzenddatum" queryTableFieldId="51" dataDxfId="158" totalsRowDxfId="157"/>
    <tableColumn id="75" xr3:uid="{DF430BCF-06A0-4909-886A-ED7C3675C9B4}" uniqueName="75" name="Date Updated" queryTableFieldId="87" dataDxfId="156" totalsRowDxfId="155"/>
    <tableColumn id="52" xr3:uid="{A17B95BB-AE23-4602-86E4-E4B69AC172FE}" uniqueName="52" name="Naam van het hoofdkorps" queryTableFieldId="52" dataDxfId="154" totalsRowDxfId="153"/>
    <tableColumn id="53" xr3:uid="{E2FBE64E-F279-4D1C-A0C3-67A6E2083C70}" uniqueName="53" name="Zal op treden als (hoofdkorps)" queryTableFieldId="53" dataDxfId="152" totalsRowDxfId="151"/>
    <tableColumn id="54" xr3:uid="{7E0FF81D-4AE6-429F-A3B8-FDB29CD17EAD}" uniqueName="54" name="Vorm van twee muziekwerken (hoofdkorps)" queryTableFieldId="54" dataDxfId="150" totalsRowDxfId="149"/>
    <tableColumn id="55" xr3:uid="{DDAF515F-C3A4-46D2-9641-5618C7145E94}" uniqueName="55" name="Zal uitkomen in de: (hoofdkorps)" queryTableFieldId="55" dataDxfId="148" totalsRowDxfId="147"/>
    <tableColumn id="56" xr3:uid="{9B712097-685D-41FF-BDCD-B39B0DAEDE68}" uniqueName="56" name="Muziekwerk1 (hoofdkorps)" queryTableFieldId="56" dataDxfId="146" totalsRowDxfId="145"/>
    <tableColumn id="57" xr3:uid="{DCE8685F-7B4B-40B8-B019-8DFBBE97A1A7}" uniqueName="57" name="Muziekwerk2 (hoofdkorps)" queryTableFieldId="57" dataDxfId="144" totalsRowDxfId="143"/>
    <tableColumn id="58" xr3:uid="{E2D403CC-64F0-40C2-BC6C-3633185356EF}" uniqueName="58" name="Korps bestaat uit ... deelnemers (hoofdkorps)" queryTableFieldId="58" dataDxfId="142" totalsRowDxfId="141"/>
    <tableColumn id="59" xr3:uid="{F2BAB700-D010-4DF5-ABBB-8C0B80B9CF18}" uniqueName="59" name="Naam van het 2e korps" queryTableFieldId="59" dataDxfId="140" totalsRowDxfId="139"/>
    <tableColumn id="60" xr3:uid="{33D15A13-08B7-4A86-80A6-20EA64C6E2A5}" uniqueName="60" name="Zal op treden als (2e korps)" queryTableFieldId="60" dataDxfId="138" totalsRowDxfId="137"/>
    <tableColumn id="61" xr3:uid="{FD5B2EDA-25E5-4AC8-973D-FA2C249175E8}" uniqueName="61" name="Vorm van twee muziekwerken (2e korps)" queryTableFieldId="61" dataDxfId="136" totalsRowDxfId="135"/>
    <tableColumn id="62" xr3:uid="{62B0C79A-C44C-44F0-8B47-55CA4F4FBFFB}" uniqueName="62" name="Zal uitkomen in de: (2e korps)" queryTableFieldId="62" dataDxfId="134" totalsRowDxfId="133"/>
    <tableColumn id="63" xr3:uid="{D1B9CF45-CE19-4F97-8A84-8EC77B278A3D}" uniqueName="63" name="Muziekwerk1 (2e korps)" queryTableFieldId="63" dataDxfId="132" totalsRowDxfId="131"/>
    <tableColumn id="64" xr3:uid="{12EEBE20-D33A-4624-AAB1-9C626FD7E923}" uniqueName="64" name="Muziekwerk2 (2e korps)" queryTableFieldId="64" dataDxfId="130" totalsRowDxfId="129"/>
    <tableColumn id="65" xr3:uid="{04BCB239-F2BF-43F7-8769-8C4596666DC7}" uniqueName="65" name="Korps bestaat uit ... deelnemers (2e korps)" queryTableFieldId="65" dataDxfId="128" totalsRowDxfId="127"/>
    <tableColumn id="69" xr3:uid="{48685445-1CE2-4641-9D83-AE4933D7CA2D}" uniqueName="69" name="Mechanische muziek" queryTableFieldId="69" dataDxfId="126" totalsRowDxfId="125"/>
    <tableColumn id="66" xr3:uid="{CA4F0955-5464-46EE-BEA9-38CE7800D2EC}" uniqueName="66" name="Onderdelen" queryTableFieldId="66" dataDxfId="124" totalsRowDxfId="123"/>
    <tableColumn id="67" xr3:uid="{3F1F53B8-F781-401E-82C8-90031468BF1B}" uniqueName="67" name="Secties" queryTableFieldId="67" dataDxfId="122" totalsRowDxfId="121"/>
    <tableColumn id="68" xr3:uid="{D58A6DB8-6A15-4F87-AC46-684B07791844}" uniqueName="68" name="Leeftijdscategorie" queryTableFieldId="68" dataDxfId="120" totalsRowDxfId="119"/>
    <tableColumn id="70" xr3:uid="{306F10D5-06E3-4B62-BCA3-911F4788FCB0}" uniqueName="70" name="Aantal opgegeven majorettes" totalsRowFunction="sum" queryTableFieldId="70" dataDxfId="118" totalsRowDxfId="117"/>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0D1A4A-A185-49B3-AA23-9EC8A2F0ED97}" name="GKVI" displayName="GKVI" ref="A6:W39" tableType="queryTable" totalsRowCount="1" headerRowDxfId="116">
  <autoFilter ref="A6:W38" xr:uid="{580D1A4A-A185-49B3-AA23-9EC8A2F0ED97}"/>
  <tableColumns count="23">
    <tableColumn id="2" xr3:uid="{40F56B9E-0D9C-4F2A-B8F1-34C3B3D7E994}" uniqueName="2" name="Inzending-ID" totalsRowLabel="Totaal" queryTableFieldId="29" dataDxfId="115"/>
    <tableColumn id="20" xr3:uid="{1DF80CEA-9B28-4579-A6A0-97308306E1C1}" uniqueName="20" name="Inzenddatum" queryTableFieldId="20" dataDxfId="114" totalsRowDxfId="113" dataCellStyle="Standaard 2"/>
    <tableColumn id="1" xr3:uid="{110A6271-7C80-4137-949B-E6DB2359986B}" uniqueName="1" name="GKVI" totalsRowFunction="count" queryTableFieldId="1" dataDxfId="112" totalsRowDxfId="111" dataCellStyle="Standaard 2"/>
    <tableColumn id="21" xr3:uid="{7802E2CF-F085-4C93-AD5C-D56F8AD610F8}" uniqueName="21" name="Ver.nr." queryTableFieldId="21" dataDxfId="110" totalsRowDxfId="109" dataCellStyle="Standaard 2"/>
    <tableColumn id="3" xr3:uid="{1860F804-C753-411A-9507-66D95E27BCD9}" uniqueName="3" name="Naam vereniging" queryTableFieldId="3" dataDxfId="108" totalsRowDxfId="107" dataCellStyle="Standaard 2"/>
    <tableColumn id="4" xr3:uid="{626EFE54-511D-4543-A27C-AC16A212F88E}" uniqueName="4" name="Korps klassiek senioren" totalsRowFunction="sum" queryTableFieldId="4" dataDxfId="106" totalsRowDxfId="105" dataCellStyle="Standaard 2"/>
    <tableColumn id="5" xr3:uid="{2C978935-C142-461D-9CAB-86BEDCACC1B6}" uniqueName="5" name="Korps 1 klassiek junioren" totalsRowFunction="sum" queryTableFieldId="35" dataDxfId="104" totalsRowDxfId="103" dataCellStyle="Standaard 2"/>
    <tableColumn id="6" xr3:uid="{32EB3BA3-0096-4E9C-82A9-0539D4EFE7C1}" uniqueName="6" name="Korps 2 klassiek junioren" totalsRowFunction="sum" queryTableFieldId="36" dataDxfId="102" totalsRowDxfId="101" dataCellStyle="Standaard 2"/>
    <tableColumn id="13" xr3:uid="{133B5693-EBB2-4DBA-A79B-067BCBBE2CE9}" uniqueName="13" name="Korps 1 klassiek aspiranten" totalsRowFunction="sum" queryTableFieldId="37" dataDxfId="100" totalsRowDxfId="99" dataCellStyle="Standaard 2"/>
    <tableColumn id="14" xr3:uid="{84B8959F-E520-4D80-BCD2-391D4D054680}" uniqueName="14" name="Korps 2 klassiek aspiranten" totalsRowFunction="sum" queryTableFieldId="38" dataDxfId="98" totalsRowDxfId="97" dataCellStyle="Standaard 2"/>
    <tableColumn id="7" xr3:uid="{D5298E7B-EDFA-41D8-87A2-617880C953B1}" uniqueName="7" name="Korps acrob. senioren" totalsRowFunction="sum" queryTableFieldId="7" dataDxfId="96" totalsRowDxfId="95" dataCellStyle="Standaard 2"/>
    <tableColumn id="8" xr3:uid="{D76DE73F-3A17-4720-BD3C-6D9627BA63D8}" uniqueName="8" name="Korps acrob. junioren" totalsRowFunction="sum" queryTableFieldId="8" dataDxfId="94" totalsRowDxfId="93" dataCellStyle="Standaard 2"/>
    <tableColumn id="9" xr3:uid="{F258AC41-9244-4703-868E-5F889D3C5505}" uniqueName="9" name="Korps acrob. aspiranten" totalsRowFunction="sum" queryTableFieldId="9" dataDxfId="92" totalsRowDxfId="91" dataCellStyle="Standaard 2"/>
    <tableColumn id="10" xr3:uid="{B2EFF584-BB62-458C-BEF7-6EA9FEA68AD4}" uniqueName="10" name="Korps show senioren" queryTableFieldId="10" dataDxfId="90" totalsRowDxfId="89" dataCellStyle="Standaard 2"/>
    <tableColumn id="11" xr3:uid="{E0FD80DD-A6C5-4CED-85D7-8B6A8E1C26D5}" uniqueName="11" name="Korps show junioren" totalsRowFunction="sum" queryTableFieldId="11" dataDxfId="88" totalsRowDxfId="87" dataCellStyle="Standaard 2"/>
    <tableColumn id="12" xr3:uid="{21F32278-BFBE-440E-AC5C-EAAB07CB64C3}" uniqueName="12" name="Korps show aspiranten" totalsRowFunction="sum" queryTableFieldId="12" dataDxfId="86" totalsRowDxfId="85" dataCellStyle="Standaard 2"/>
    <tableColumn id="22" xr3:uid="{0A53BF77-163C-445B-8BBF-383AC79C51B5}" uniqueName="22" name="Senioren" totalsRowFunction="sum" queryTableFieldId="23" dataDxfId="84" totalsRowDxfId="83" dataCellStyle="Standaard 2"/>
    <tableColumn id="23" xr3:uid="{F94B7E91-70F1-4FC0-8251-010921163934}" uniqueName="23" name="Junioren" totalsRowFunction="sum" queryTableFieldId="24" dataDxfId="82" totalsRowDxfId="81" dataCellStyle="Standaard 2"/>
    <tableColumn id="24" xr3:uid="{706CCAB4-C1B4-401B-B21B-6C5924F7A454}" uniqueName="24" name="Aspiranten" totalsRowFunction="sum" queryTableFieldId="25" dataDxfId="80" totalsRowDxfId="79" dataCellStyle="Standaard 2"/>
    <tableColumn id="17" xr3:uid="{B21C9857-A84D-4F88-9DEF-3CA88FC3CFE7}" uniqueName="17" name="Aantal deelnemers" totalsRowFunction="sum" queryTableFieldId="17" dataDxfId="78" totalsRowDxfId="77" dataCellStyle="Standaard 2"/>
    <tableColumn id="18" xr3:uid="{BF6C55CC-07B8-451D-9CB3-A16BF13790B6}" uniqueName="18" name="Hiervan is aspirant" totalsRowFunction="sum" queryTableFieldId="18" dataDxfId="76" totalsRowDxfId="75" dataCellStyle="Standaard 2"/>
    <tableColumn id="16" xr3:uid="{02E6C8C2-0C56-4DF9-8655-CA81BDE25E64}" uniqueName="16" name="Opmerkingen" queryTableFieldId="16" dataDxfId="74" totalsRowDxfId="73" dataCellStyle="Standaard 2"/>
    <tableColumn id="15" xr3:uid="{E8FF6363-88A2-4F78-B4E7-1746482BEFDB}" uniqueName="15" name="Date Updated" queryTableFieldId="39" dataDxfId="72" dataCellStyle="Standaard 2"/>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B9436B-5FFD-49AE-9ACB-2367BAA201D1}" name="Bielemantreffen_2" displayName="Bielemantreffen_2" ref="A5:K26" tableType="queryTable" totalsRowCount="1" headerRowDxfId="71">
  <autoFilter ref="A5:K25" xr:uid="{5DB9436B-5FFD-49AE-9ACB-2367BAA201D1}"/>
  <tableColumns count="11">
    <tableColumn id="3" xr3:uid="{5B3EE3F4-6AB4-4B63-B0B2-2C26C5F5B8B0}" uniqueName="3" name="BIEL" totalsRowLabel="Totaal" queryTableFieldId="3" dataDxfId="70" totalsRowDxfId="69"/>
    <tableColumn id="4" xr3:uid="{D2C17856-F0DB-4145-A428-42E1EBC056B4}" uniqueName="4" name="Ver.nr." queryTableFieldId="4" dataDxfId="68" totalsRowDxfId="67"/>
    <tableColumn id="5" xr3:uid="{638102D6-3D21-446C-9D8E-AF61BE00142F}" uniqueName="5" name="Naam vereniging" totalsRowFunction="count" queryTableFieldId="5" dataDxfId="66" totalsRowDxfId="65"/>
    <tableColumn id="6" xr3:uid="{E7CB2C54-ADFB-4FC6-9823-F9768057F974}" uniqueName="6" name="Senioren" totalsRowFunction="sum" queryTableFieldId="6" dataDxfId="64" totalsRowDxfId="63"/>
    <tableColumn id="72" xr3:uid="{11C6C24B-6F22-4B1C-BAE6-59C482B388B2}" uniqueName="72" name="Jong volwassene" totalsRowFunction="sum" queryTableFieldId="84" dataDxfId="62" totalsRowDxfId="61"/>
    <tableColumn id="7" xr3:uid="{19847D58-FE70-4311-93D8-514131D5B68A}" uniqueName="7" name="Junioren" totalsRowFunction="sum" queryTableFieldId="7" dataDxfId="60" totalsRowDxfId="59"/>
    <tableColumn id="8" xr3:uid="{CC6817C6-19FE-4F2A-8D25-3CCC027A9097}" uniqueName="8" name="Aspiranten" totalsRowFunction="sum" queryTableFieldId="8" dataDxfId="58" totalsRowDxfId="57"/>
    <tableColumn id="9" xr3:uid="{85B7013C-1632-47F7-8940-DB6F8462668C}" uniqueName="9" name="Opmerkingen/toelichting" queryTableFieldId="9" dataDxfId="56" totalsRowDxfId="55"/>
    <tableColumn id="1" xr3:uid="{BE6FFDA5-A18B-48C5-8896-2AF02E49029B}" uniqueName="1" name="Inzending-ID" queryTableFieldId="1" dataDxfId="54" totalsRowDxfId="53"/>
    <tableColumn id="2" xr3:uid="{EE2A5C99-9FF5-434A-8A91-052622DCB816}" uniqueName="2" name="Inzenddatum" queryTableFieldId="2" dataDxfId="52" totalsRowDxfId="51"/>
    <tableColumn id="10" xr3:uid="{9C4AF465-3B66-400C-9BE5-32A2532DF57D}" uniqueName="10" name="Date Updated" queryTableFieldId="87" dataDxfId="50"/>
  </tableColumns>
  <tableStyleInfo name="TableStyleMedium7"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7BAB-3485-4E29-90D6-492F584E3FD6}">
  <dimension ref="A1:CE118"/>
  <sheetViews>
    <sheetView tabSelected="1" zoomScaleNormal="100" workbookViewId="0">
      <pane xSplit="3" ySplit="6" topLeftCell="D73" activePane="bottomRight" state="frozen"/>
      <selection pane="topRight" activeCell="D1" sqref="D1"/>
      <selection pane="bottomLeft" activeCell="A7" sqref="A7"/>
      <selection pane="bottomRight" activeCell="Q1" sqref="Q1:S1048576"/>
    </sheetView>
  </sheetViews>
  <sheetFormatPr baseColWidth="10" defaultColWidth="8.83203125" defaultRowHeight="15" x14ac:dyDescent="0.2"/>
  <cols>
    <col min="1" max="1" width="11.5" bestFit="1" customWidth="1"/>
    <col min="2" max="2" width="8.6640625" bestFit="1" customWidth="1"/>
    <col min="3" max="3" width="58.83203125" bestFit="1" customWidth="1"/>
    <col min="4" max="4" width="3.5" bestFit="1" customWidth="1"/>
    <col min="5" max="14" width="8.5" bestFit="1" customWidth="1"/>
    <col min="15" max="16" width="8.33203125" customWidth="1"/>
    <col min="17" max="17" width="8.33203125" hidden="1" customWidth="1"/>
    <col min="18" max="19" width="8.5" style="71" hidden="1" customWidth="1"/>
    <col min="20" max="43" width="8.5" bestFit="1" customWidth="1"/>
    <col min="44" max="44" width="8.5" style="61" bestFit="1" customWidth="1"/>
    <col min="45" max="52" width="8.5" bestFit="1" customWidth="1"/>
    <col min="53" max="53" width="23.6640625" style="70" bestFit="1" customWidth="1"/>
    <col min="54" max="54" width="15.83203125" bestFit="1" customWidth="1"/>
    <col min="55" max="56" width="15" bestFit="1" customWidth="1"/>
    <col min="57" max="57" width="40.6640625" bestFit="1" customWidth="1"/>
    <col min="58" max="58" width="23.83203125" bestFit="1" customWidth="1"/>
    <col min="59" max="59" width="30.6640625" bestFit="1" customWidth="1"/>
    <col min="60" max="60" width="30.5" bestFit="1" customWidth="1"/>
    <col min="61" max="61" width="21.83203125" bestFit="1" customWidth="1"/>
    <col min="62" max="62" width="25.1640625" bestFit="1" customWidth="1"/>
    <col min="63" max="71" width="8.5" bestFit="1" customWidth="1"/>
    <col min="72" max="72" width="45.5" bestFit="1" customWidth="1"/>
    <col min="73" max="73" width="52.6640625" bestFit="1" customWidth="1"/>
    <col min="74" max="74" width="45.33203125" bestFit="1" customWidth="1"/>
    <col min="75" max="75" width="8.5" bestFit="1" customWidth="1"/>
    <col min="76" max="76" width="10.6640625" bestFit="1" customWidth="1"/>
    <col min="77" max="77" width="7.5" bestFit="1" customWidth="1"/>
    <col min="78" max="78" width="15.5" bestFit="1" customWidth="1"/>
    <col min="79" max="79" width="17" bestFit="1" customWidth="1"/>
    <col min="80" max="80" width="15.6640625" style="1" bestFit="1" customWidth="1"/>
    <col min="81" max="81" width="21.33203125" style="1" bestFit="1" customWidth="1"/>
    <col min="82" max="83" width="9.33203125" bestFit="1" customWidth="1"/>
  </cols>
  <sheetData>
    <row r="1" spans="1:83" x14ac:dyDescent="0.2">
      <c r="AI1" t="s">
        <v>0</v>
      </c>
      <c r="AL1" s="2"/>
      <c r="AM1" s="2"/>
      <c r="AS1" s="1"/>
      <c r="AT1" s="1"/>
      <c r="CB1" s="33"/>
      <c r="CC1" s="33"/>
      <c r="CD1" s="33"/>
      <c r="CE1" s="33"/>
    </row>
    <row r="2" spans="1:83" ht="16" thickBot="1" x14ac:dyDescent="0.25">
      <c r="AL2" s="2"/>
      <c r="AM2" s="2"/>
      <c r="AS2" s="1"/>
      <c r="AT2" s="1"/>
      <c r="CB2" s="33"/>
      <c r="CC2" s="33"/>
      <c r="CD2" s="33"/>
      <c r="CE2" s="33"/>
    </row>
    <row r="3" spans="1:83" ht="16" thickBot="1" x14ac:dyDescent="0.25">
      <c r="A3" s="20"/>
      <c r="B3" s="21"/>
      <c r="C3" s="22"/>
      <c r="D3" s="139" t="s">
        <v>1</v>
      </c>
      <c r="E3" s="140"/>
      <c r="F3" s="140"/>
      <c r="G3" s="140"/>
      <c r="H3" s="141"/>
      <c r="I3" s="142" t="s">
        <v>2</v>
      </c>
      <c r="J3" s="143"/>
      <c r="K3" s="143"/>
      <c r="L3" s="143"/>
      <c r="M3" s="143"/>
      <c r="N3" s="143"/>
      <c r="O3" s="143"/>
      <c r="P3" s="143"/>
      <c r="Q3" s="143"/>
      <c r="R3" s="143"/>
      <c r="S3" s="143"/>
      <c r="T3" s="143"/>
      <c r="U3" s="143"/>
      <c r="V3" s="143"/>
      <c r="W3" s="143"/>
      <c r="X3" s="143"/>
      <c r="Y3" s="144"/>
      <c r="Z3" s="139" t="s">
        <v>3</v>
      </c>
      <c r="AA3" s="141"/>
      <c r="AB3" s="26" t="s">
        <v>4</v>
      </c>
      <c r="AC3" s="93" t="s">
        <v>5</v>
      </c>
      <c r="AD3" s="94"/>
      <c r="AE3" s="94"/>
      <c r="AF3" s="94"/>
      <c r="AG3" s="94"/>
      <c r="AH3" s="94"/>
      <c r="AI3" s="94"/>
      <c r="AJ3" s="95"/>
      <c r="AK3" s="26" t="s">
        <v>6</v>
      </c>
      <c r="AL3" s="139" t="s">
        <v>7</v>
      </c>
      <c r="AM3" s="140"/>
      <c r="AN3" s="140"/>
      <c r="AO3" s="140"/>
      <c r="AP3" s="140"/>
      <c r="AQ3" s="140"/>
      <c r="AR3" s="140"/>
      <c r="AS3" s="140"/>
      <c r="AT3" s="140"/>
      <c r="AU3" s="140"/>
      <c r="AV3" s="141"/>
      <c r="AW3" s="139" t="s">
        <v>8</v>
      </c>
      <c r="AX3" s="140"/>
      <c r="AY3" s="140"/>
      <c r="AZ3" s="140"/>
      <c r="BA3" s="140"/>
      <c r="BB3" s="140"/>
      <c r="BC3" s="140"/>
      <c r="BD3" s="141"/>
      <c r="BE3" s="142" t="s">
        <v>9</v>
      </c>
      <c r="BF3" s="143"/>
      <c r="BG3" s="143"/>
      <c r="BH3" s="143"/>
      <c r="BI3" s="143"/>
      <c r="BJ3" s="143"/>
      <c r="BK3" s="143"/>
      <c r="BL3" s="143"/>
      <c r="BM3" s="143"/>
      <c r="BN3" s="143"/>
      <c r="BO3" s="143"/>
      <c r="BP3" s="143"/>
      <c r="BQ3" s="143"/>
      <c r="BR3" s="143"/>
      <c r="BS3" s="145" t="s">
        <v>10</v>
      </c>
      <c r="BT3" s="146"/>
      <c r="BU3" s="146"/>
      <c r="BV3" s="146"/>
      <c r="BW3" s="147"/>
      <c r="BX3" s="137"/>
      <c r="BY3" s="137"/>
      <c r="BZ3" s="137"/>
      <c r="CA3" s="137"/>
      <c r="CB3"/>
      <c r="CC3"/>
    </row>
    <row r="4" spans="1:83" ht="16" thickBot="1" x14ac:dyDescent="0.25">
      <c r="A4" s="23"/>
      <c r="B4" s="24"/>
      <c r="C4" s="25"/>
      <c r="D4" s="23"/>
      <c r="E4" s="24"/>
      <c r="F4" s="24"/>
      <c r="G4" s="24"/>
      <c r="H4" s="25"/>
      <c r="I4" s="86" t="s">
        <v>11</v>
      </c>
      <c r="J4" s="87"/>
      <c r="K4" s="87"/>
      <c r="L4" s="87"/>
      <c r="M4" s="88"/>
      <c r="N4" s="142" t="s">
        <v>88</v>
      </c>
      <c r="O4" s="143"/>
      <c r="P4" s="144"/>
      <c r="Q4" s="142" t="s">
        <v>13</v>
      </c>
      <c r="R4" s="143"/>
      <c r="S4" s="144"/>
      <c r="T4" s="142" t="s">
        <v>14</v>
      </c>
      <c r="U4" s="143"/>
      <c r="V4" s="143"/>
      <c r="W4" s="143"/>
      <c r="X4" s="143"/>
      <c r="Y4" s="144"/>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106"/>
      <c r="BB4" s="24"/>
      <c r="BC4" s="24"/>
      <c r="BD4" s="25"/>
      <c r="BE4" s="142" t="s">
        <v>15</v>
      </c>
      <c r="BF4" s="143"/>
      <c r="BG4" s="143"/>
      <c r="BH4" s="143"/>
      <c r="BI4" s="143"/>
      <c r="BJ4" s="143"/>
      <c r="BK4" s="144"/>
      <c r="BL4" s="142" t="s">
        <v>16</v>
      </c>
      <c r="BM4" s="143"/>
      <c r="BN4" s="143"/>
      <c r="BO4" s="143"/>
      <c r="BP4" s="143"/>
      <c r="BQ4" s="143"/>
      <c r="BR4" s="144"/>
      <c r="BS4" s="142"/>
      <c r="BT4" s="143"/>
      <c r="BU4" s="143"/>
      <c r="BV4" s="143"/>
      <c r="BW4" s="144"/>
      <c r="BX4" s="138"/>
      <c r="BY4" s="138"/>
      <c r="BZ4" s="138"/>
      <c r="CA4" s="138"/>
      <c r="CB4"/>
      <c r="CC4"/>
    </row>
    <row r="5" spans="1:83" ht="6.75" customHeight="1" thickBot="1" x14ac:dyDescent="0.2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63"/>
      <c r="AS5" s="1"/>
      <c r="AT5" s="1"/>
      <c r="AU5" s="1"/>
      <c r="AV5" s="1"/>
      <c r="AW5" s="1"/>
      <c r="AX5" s="1"/>
      <c r="AY5" s="1"/>
      <c r="AZ5" s="1"/>
      <c r="BB5" s="1"/>
      <c r="BC5" s="1"/>
      <c r="BD5" s="1"/>
      <c r="BE5" s="1"/>
      <c r="BF5" s="1"/>
      <c r="BG5" s="1"/>
      <c r="BH5" s="1"/>
      <c r="BI5" s="1"/>
      <c r="BJ5" s="1"/>
      <c r="BK5" s="1"/>
      <c r="BL5" s="1"/>
      <c r="BM5" s="1"/>
      <c r="BN5" s="1"/>
      <c r="BO5" s="1"/>
      <c r="BP5" s="1"/>
      <c r="BQ5" s="1"/>
      <c r="BR5" s="1"/>
      <c r="BS5" s="1"/>
      <c r="BT5" s="1"/>
      <c r="BU5" s="1"/>
      <c r="BV5" s="1"/>
      <c r="BW5" s="1"/>
      <c r="BX5" s="1"/>
      <c r="BY5" s="1"/>
      <c r="BZ5" s="1"/>
      <c r="CA5" s="1"/>
      <c r="CD5" s="1"/>
      <c r="CE5" s="1"/>
    </row>
    <row r="6" spans="1:83" s="2" customFormat="1" ht="213" thickBot="1" x14ac:dyDescent="0.25">
      <c r="A6" s="77" t="s">
        <v>17</v>
      </c>
      <c r="B6" s="7" t="s">
        <v>18</v>
      </c>
      <c r="C6" s="8" t="s">
        <v>19</v>
      </c>
      <c r="D6" s="78" t="s">
        <v>20</v>
      </c>
      <c r="E6" s="10" t="s">
        <v>21</v>
      </c>
      <c r="F6" s="10" t="s">
        <v>22</v>
      </c>
      <c r="G6" s="10" t="s">
        <v>23</v>
      </c>
      <c r="H6" s="10"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12" t="s">
        <v>112</v>
      </c>
      <c r="AH6" s="12" t="s">
        <v>113</v>
      </c>
      <c r="AI6" s="12" t="s">
        <v>114</v>
      </c>
      <c r="AJ6" s="13" t="s">
        <v>115</v>
      </c>
      <c r="AK6" s="11" t="s">
        <v>41</v>
      </c>
      <c r="AL6" s="9" t="s">
        <v>42</v>
      </c>
      <c r="AM6" s="12" t="s">
        <v>122</v>
      </c>
      <c r="AN6" s="10" t="s">
        <v>43</v>
      </c>
      <c r="AO6" s="12" t="s">
        <v>123</v>
      </c>
      <c r="AP6" s="10" t="s">
        <v>45</v>
      </c>
      <c r="AQ6" s="12" t="s">
        <v>124</v>
      </c>
      <c r="AR6" s="10" t="s">
        <v>44</v>
      </c>
      <c r="AS6" s="12" t="s">
        <v>125</v>
      </c>
      <c r="AT6" s="10" t="s">
        <v>116</v>
      </c>
      <c r="AU6" s="10" t="s">
        <v>117</v>
      </c>
      <c r="AV6" s="12" t="s">
        <v>118</v>
      </c>
      <c r="AW6" s="10" t="s">
        <v>46</v>
      </c>
      <c r="AX6" s="10" t="s">
        <v>47</v>
      </c>
      <c r="AY6" s="10" t="s">
        <v>48</v>
      </c>
      <c r="AZ6" s="10" t="s">
        <v>49</v>
      </c>
      <c r="BA6" s="107" t="s">
        <v>50</v>
      </c>
      <c r="BB6" s="24" t="s">
        <v>51</v>
      </c>
      <c r="BC6" s="11" t="s">
        <v>52</v>
      </c>
      <c r="BD6" s="11"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1" t="s">
        <v>66</v>
      </c>
      <c r="BS6" s="10" t="s">
        <v>70</v>
      </c>
      <c r="BT6" s="9" t="s">
        <v>67</v>
      </c>
      <c r="BU6" s="10" t="s">
        <v>68</v>
      </c>
      <c r="BV6" s="10" t="s">
        <v>69</v>
      </c>
      <c r="BW6" s="11" t="s">
        <v>71</v>
      </c>
      <c r="BX6" t="s">
        <v>341</v>
      </c>
      <c r="BY6" t="s">
        <v>342</v>
      </c>
    </row>
    <row r="7" spans="1:83" ht="144" x14ac:dyDescent="0.2">
      <c r="A7" t="s">
        <v>167</v>
      </c>
      <c r="B7" t="s">
        <v>348</v>
      </c>
      <c r="C7" t="s">
        <v>349</v>
      </c>
      <c r="D7" s="1" t="s">
        <v>73</v>
      </c>
      <c r="E7" s="1" t="s">
        <v>72</v>
      </c>
      <c r="F7" s="1" t="s">
        <v>73</v>
      </c>
      <c r="G7" s="1" t="s">
        <v>72</v>
      </c>
      <c r="H7" s="1" t="s">
        <v>74</v>
      </c>
      <c r="I7" s="1"/>
      <c r="N7" s="1"/>
      <c r="O7" s="1"/>
      <c r="P7" s="1"/>
      <c r="Q7" s="1" t="s">
        <v>73</v>
      </c>
      <c r="R7" s="1" t="s">
        <v>73</v>
      </c>
      <c r="S7" s="1" t="s">
        <v>73</v>
      </c>
      <c r="T7" s="79"/>
      <c r="U7" s="79"/>
      <c r="V7" s="1"/>
      <c r="W7" s="1"/>
      <c r="X7" s="1"/>
      <c r="Y7" s="1"/>
      <c r="Z7" s="1" t="s">
        <v>73</v>
      </c>
      <c r="AA7" s="1" t="s">
        <v>73</v>
      </c>
      <c r="AB7">
        <v>11</v>
      </c>
      <c r="AC7" s="1">
        <v>2</v>
      </c>
      <c r="AD7">
        <v>1</v>
      </c>
      <c r="AE7" s="1"/>
      <c r="AF7" s="1">
        <v>2</v>
      </c>
      <c r="AG7">
        <v>2</v>
      </c>
      <c r="AH7">
        <v>1</v>
      </c>
      <c r="AJ7">
        <v>2</v>
      </c>
      <c r="AK7" s="1" t="s">
        <v>73</v>
      </c>
      <c r="AL7" s="1" t="s">
        <v>73</v>
      </c>
      <c r="AN7" s="1" t="s">
        <v>73</v>
      </c>
      <c r="AP7" s="1" t="s">
        <v>73</v>
      </c>
      <c r="AR7" s="1" t="s">
        <v>73</v>
      </c>
      <c r="AT7" t="s">
        <v>73</v>
      </c>
      <c r="AW7" s="1">
        <v>50</v>
      </c>
      <c r="AX7" s="1">
        <v>15</v>
      </c>
      <c r="AY7" s="1" t="s">
        <v>72</v>
      </c>
      <c r="AZ7" s="1" t="s">
        <v>73</v>
      </c>
      <c r="BA7" s="126" t="s">
        <v>350</v>
      </c>
      <c r="BB7" s="1">
        <v>1980</v>
      </c>
      <c r="BC7" s="100">
        <v>45656.847210648149</v>
      </c>
      <c r="BD7" s="85">
        <v>45656.805543981478</v>
      </c>
      <c r="BE7" s="1" t="s">
        <v>73</v>
      </c>
      <c r="BF7" s="1" t="s">
        <v>73</v>
      </c>
      <c r="BG7" s="1" t="s">
        <v>73</v>
      </c>
      <c r="BH7" s="1" t="s">
        <v>73</v>
      </c>
      <c r="BI7" s="1" t="s">
        <v>73</v>
      </c>
      <c r="BJ7" s="1" t="s">
        <v>73</v>
      </c>
      <c r="BK7" s="1"/>
      <c r="BL7" s="1" t="s">
        <v>73</v>
      </c>
      <c r="BM7" s="1" t="s">
        <v>73</v>
      </c>
      <c r="BN7" s="1" t="s">
        <v>73</v>
      </c>
      <c r="BO7" s="1" t="s">
        <v>73</v>
      </c>
      <c r="BP7" s="1" t="s">
        <v>73</v>
      </c>
      <c r="BQ7" s="1" t="s">
        <v>73</v>
      </c>
      <c r="BR7" s="1"/>
      <c r="BS7" s="1" t="s">
        <v>75</v>
      </c>
      <c r="BT7" s="1" t="s">
        <v>351</v>
      </c>
      <c r="BU7" s="1" t="s">
        <v>352</v>
      </c>
      <c r="BV7" s="1" t="s">
        <v>353</v>
      </c>
      <c r="BW7" s="1">
        <v>18</v>
      </c>
      <c r="CB7"/>
      <c r="CC7"/>
    </row>
    <row r="8" spans="1:83" ht="112" x14ac:dyDescent="0.2">
      <c r="A8" t="s">
        <v>167</v>
      </c>
      <c r="B8" t="s">
        <v>329</v>
      </c>
      <c r="C8" t="s">
        <v>330</v>
      </c>
      <c r="D8" s="1" t="s">
        <v>73</v>
      </c>
      <c r="E8" s="1" t="s">
        <v>72</v>
      </c>
      <c r="F8" s="1" t="s">
        <v>72</v>
      </c>
      <c r="G8" s="1" t="s">
        <v>73</v>
      </c>
      <c r="H8" s="1"/>
      <c r="I8" s="1">
        <v>9</v>
      </c>
      <c r="N8" s="1"/>
      <c r="O8" s="1"/>
      <c r="P8" s="1"/>
      <c r="Q8" s="1" t="s">
        <v>73</v>
      </c>
      <c r="R8" s="1" t="s">
        <v>73</v>
      </c>
      <c r="S8" s="1" t="s">
        <v>73</v>
      </c>
      <c r="T8" s="79"/>
      <c r="U8" s="79"/>
      <c r="V8" s="1"/>
      <c r="W8" s="1"/>
      <c r="X8" s="1"/>
      <c r="Y8" s="1"/>
      <c r="Z8" s="1" t="s">
        <v>73</v>
      </c>
      <c r="AA8" s="1" t="s">
        <v>73</v>
      </c>
      <c r="AC8" s="1">
        <v>2</v>
      </c>
      <c r="AD8">
        <v>2</v>
      </c>
      <c r="AE8" s="1"/>
      <c r="AF8" s="1">
        <v>1</v>
      </c>
      <c r="AG8">
        <v>3</v>
      </c>
      <c r="AH8">
        <v>1</v>
      </c>
      <c r="AJ8">
        <v>1</v>
      </c>
      <c r="AK8" s="1" t="s">
        <v>73</v>
      </c>
      <c r="AL8" s="1" t="s">
        <v>73</v>
      </c>
      <c r="AN8" s="1" t="s">
        <v>73</v>
      </c>
      <c r="AP8" s="1" t="s">
        <v>73</v>
      </c>
      <c r="AR8" s="1" t="s">
        <v>73</v>
      </c>
      <c r="AT8" t="s">
        <v>73</v>
      </c>
      <c r="AW8" s="1">
        <v>80</v>
      </c>
      <c r="AX8" s="1">
        <v>20</v>
      </c>
      <c r="AY8" s="1" t="s">
        <v>72</v>
      </c>
      <c r="AZ8" s="1" t="s">
        <v>73</v>
      </c>
      <c r="BA8" s="126" t="s">
        <v>331</v>
      </c>
      <c r="BB8" s="1">
        <v>1968</v>
      </c>
      <c r="BC8" s="100">
        <v>45655.670208333337</v>
      </c>
      <c r="BD8" s="85">
        <v>45655.652407407404</v>
      </c>
      <c r="BE8" s="1" t="s">
        <v>73</v>
      </c>
      <c r="BF8" s="1" t="s">
        <v>73</v>
      </c>
      <c r="BG8" s="1" t="s">
        <v>73</v>
      </c>
      <c r="BH8" s="1" t="s">
        <v>73</v>
      </c>
      <c r="BI8" s="1" t="s">
        <v>73</v>
      </c>
      <c r="BJ8" s="1" t="s">
        <v>73</v>
      </c>
      <c r="BK8" s="1"/>
      <c r="BL8" s="1" t="s">
        <v>73</v>
      </c>
      <c r="BM8" s="1" t="s">
        <v>73</v>
      </c>
      <c r="BN8" s="1" t="s">
        <v>73</v>
      </c>
      <c r="BO8" s="1" t="s">
        <v>73</v>
      </c>
      <c r="BP8" s="1" t="s">
        <v>73</v>
      </c>
      <c r="BQ8" s="1" t="s">
        <v>73</v>
      </c>
      <c r="BR8" s="1"/>
      <c r="BS8" s="1" t="s">
        <v>73</v>
      </c>
      <c r="BT8" s="1" t="s">
        <v>73</v>
      </c>
      <c r="BU8" s="1" t="s">
        <v>73</v>
      </c>
      <c r="BV8" s="1" t="s">
        <v>73</v>
      </c>
      <c r="BW8" s="1"/>
      <c r="CB8"/>
      <c r="CC8"/>
    </row>
    <row r="9" spans="1:83" ht="32" x14ac:dyDescent="0.2">
      <c r="A9" t="s">
        <v>167</v>
      </c>
      <c r="B9" t="s">
        <v>303</v>
      </c>
      <c r="C9" t="s">
        <v>304</v>
      </c>
      <c r="D9" s="1" t="s">
        <v>73</v>
      </c>
      <c r="E9" s="1" t="s">
        <v>73</v>
      </c>
      <c r="F9" s="1" t="s">
        <v>73</v>
      </c>
      <c r="G9" s="1" t="s">
        <v>73</v>
      </c>
      <c r="H9" s="1"/>
      <c r="I9" s="1">
        <v>4</v>
      </c>
      <c r="N9" s="1"/>
      <c r="O9" s="1"/>
      <c r="P9" s="1"/>
      <c r="Q9" s="1" t="s">
        <v>73</v>
      </c>
      <c r="R9" s="1" t="s">
        <v>73</v>
      </c>
      <c r="S9" s="1" t="s">
        <v>73</v>
      </c>
      <c r="T9" s="79"/>
      <c r="U9" s="79"/>
      <c r="V9" s="1"/>
      <c r="W9" s="1"/>
      <c r="X9" s="1"/>
      <c r="Y9" s="1"/>
      <c r="Z9" s="1" t="s">
        <v>73</v>
      </c>
      <c r="AA9" s="1" t="s">
        <v>73</v>
      </c>
      <c r="AC9" s="1"/>
      <c r="AE9" s="1"/>
      <c r="AF9" s="1"/>
      <c r="AK9" s="1" t="s">
        <v>73</v>
      </c>
      <c r="AL9" s="1" t="s">
        <v>73</v>
      </c>
      <c r="AN9" s="1" t="s">
        <v>73</v>
      </c>
      <c r="AP9" s="1" t="s">
        <v>73</v>
      </c>
      <c r="AR9" s="1" t="s">
        <v>73</v>
      </c>
      <c r="AT9" t="s">
        <v>73</v>
      </c>
      <c r="AW9" s="1">
        <v>12</v>
      </c>
      <c r="AX9" s="1">
        <v>0</v>
      </c>
      <c r="AY9" s="1" t="s">
        <v>73</v>
      </c>
      <c r="AZ9" s="1" t="s">
        <v>73</v>
      </c>
      <c r="BA9" s="126" t="s">
        <v>305</v>
      </c>
      <c r="BB9" s="1">
        <v>1944</v>
      </c>
      <c r="BC9" s="100">
        <v>45653.597291666665</v>
      </c>
      <c r="BD9" s="85">
        <v>45653.555625000001</v>
      </c>
      <c r="BE9" s="1" t="s">
        <v>73</v>
      </c>
      <c r="BF9" s="1" t="s">
        <v>73</v>
      </c>
      <c r="BG9" s="1" t="s">
        <v>73</v>
      </c>
      <c r="BH9" s="1" t="s">
        <v>73</v>
      </c>
      <c r="BI9" s="1" t="s">
        <v>73</v>
      </c>
      <c r="BJ9" s="1" t="s">
        <v>73</v>
      </c>
      <c r="BK9" s="1"/>
      <c r="BL9" s="1" t="s">
        <v>73</v>
      </c>
      <c r="BM9" s="1" t="s">
        <v>73</v>
      </c>
      <c r="BN9" s="1" t="s">
        <v>73</v>
      </c>
      <c r="BO9" s="1" t="s">
        <v>73</v>
      </c>
      <c r="BP9" s="1" t="s">
        <v>73</v>
      </c>
      <c r="BQ9" s="1" t="s">
        <v>73</v>
      </c>
      <c r="BR9" s="1"/>
      <c r="BS9" s="1" t="s">
        <v>73</v>
      </c>
      <c r="BT9" s="1" t="s">
        <v>73</v>
      </c>
      <c r="BU9" s="1" t="s">
        <v>73</v>
      </c>
      <c r="BV9" s="1" t="s">
        <v>73</v>
      </c>
      <c r="BW9" s="1"/>
      <c r="CB9"/>
      <c r="CC9"/>
    </row>
    <row r="10" spans="1:83" ht="16" x14ac:dyDescent="0.2">
      <c r="A10" t="s">
        <v>167</v>
      </c>
      <c r="B10" t="s">
        <v>306</v>
      </c>
      <c r="C10" t="s">
        <v>307</v>
      </c>
      <c r="D10" s="1" t="s">
        <v>73</v>
      </c>
      <c r="E10" s="1" t="s">
        <v>72</v>
      </c>
      <c r="F10" s="1" t="s">
        <v>73</v>
      </c>
      <c r="G10" s="1" t="s">
        <v>73</v>
      </c>
      <c r="H10" s="1"/>
      <c r="I10" s="1">
        <v>4</v>
      </c>
      <c r="N10" s="1"/>
      <c r="O10" s="1"/>
      <c r="P10" s="1"/>
      <c r="Q10" s="1" t="s">
        <v>73</v>
      </c>
      <c r="R10" s="1" t="s">
        <v>73</v>
      </c>
      <c r="S10" s="1" t="s">
        <v>73</v>
      </c>
      <c r="T10" s="79"/>
      <c r="U10" s="79"/>
      <c r="V10" s="1"/>
      <c r="W10" s="1"/>
      <c r="X10" s="1"/>
      <c r="Y10" s="1"/>
      <c r="Z10" s="1" t="s">
        <v>73</v>
      </c>
      <c r="AA10" s="1" t="s">
        <v>73</v>
      </c>
      <c r="AC10" s="1"/>
      <c r="AE10" s="1"/>
      <c r="AF10" s="1"/>
      <c r="AK10" s="1" t="s">
        <v>73</v>
      </c>
      <c r="AL10" s="1" t="s">
        <v>73</v>
      </c>
      <c r="AN10" s="1" t="s">
        <v>73</v>
      </c>
      <c r="AP10" s="1" t="s">
        <v>73</v>
      </c>
      <c r="AR10" s="1" t="s">
        <v>73</v>
      </c>
      <c r="AT10" t="s">
        <v>73</v>
      </c>
      <c r="AW10" s="1">
        <v>25</v>
      </c>
      <c r="AX10" s="1">
        <v>5</v>
      </c>
      <c r="AY10" s="1" t="s">
        <v>73</v>
      </c>
      <c r="AZ10" s="1" t="s">
        <v>73</v>
      </c>
      <c r="BA10" s="126" t="s">
        <v>308</v>
      </c>
      <c r="BB10" s="1">
        <v>1940</v>
      </c>
      <c r="BC10" s="100">
        <v>45653.434432870374</v>
      </c>
      <c r="BD10" s="85">
        <v>45653.392766203702</v>
      </c>
      <c r="BE10" s="1" t="s">
        <v>73</v>
      </c>
      <c r="BF10" s="1" t="s">
        <v>73</v>
      </c>
      <c r="BG10" s="1" t="s">
        <v>73</v>
      </c>
      <c r="BH10" s="1" t="s">
        <v>73</v>
      </c>
      <c r="BI10" s="1" t="s">
        <v>73</v>
      </c>
      <c r="BJ10" s="1" t="s">
        <v>73</v>
      </c>
      <c r="BK10" s="1"/>
      <c r="BL10" s="1" t="s">
        <v>73</v>
      </c>
      <c r="BM10" s="1" t="s">
        <v>73</v>
      </c>
      <c r="BN10" s="1" t="s">
        <v>73</v>
      </c>
      <c r="BO10" s="1" t="s">
        <v>73</v>
      </c>
      <c r="BP10" s="1" t="s">
        <v>73</v>
      </c>
      <c r="BQ10" s="1" t="s">
        <v>73</v>
      </c>
      <c r="BR10" s="1"/>
      <c r="BS10" s="1" t="s">
        <v>73</v>
      </c>
      <c r="BT10" s="1" t="s">
        <v>73</v>
      </c>
      <c r="BU10" s="1" t="s">
        <v>73</v>
      </c>
      <c r="BV10" s="1" t="s">
        <v>73</v>
      </c>
      <c r="BW10" s="1"/>
      <c r="CB10"/>
      <c r="CC10"/>
    </row>
    <row r="11" spans="1:83" ht="16" x14ac:dyDescent="0.2">
      <c r="A11" t="s">
        <v>167</v>
      </c>
      <c r="B11" t="s">
        <v>288</v>
      </c>
      <c r="C11" t="s">
        <v>289</v>
      </c>
      <c r="D11" s="1" t="s">
        <v>73</v>
      </c>
      <c r="E11" s="1" t="s">
        <v>72</v>
      </c>
      <c r="F11" s="1" t="s">
        <v>72</v>
      </c>
      <c r="G11" s="1" t="s">
        <v>72</v>
      </c>
      <c r="H11" s="1" t="s">
        <v>74</v>
      </c>
      <c r="I11" s="1">
        <v>10</v>
      </c>
      <c r="J11">
        <v>9</v>
      </c>
      <c r="L11">
        <v>3</v>
      </c>
      <c r="N11" s="1"/>
      <c r="O11" s="1"/>
      <c r="P11" s="1"/>
      <c r="Q11" s="1" t="s">
        <v>73</v>
      </c>
      <c r="R11" s="1" t="s">
        <v>73</v>
      </c>
      <c r="S11" s="1" t="s">
        <v>73</v>
      </c>
      <c r="T11" s="79"/>
      <c r="U11" s="79"/>
      <c r="V11" s="1"/>
      <c r="W11" s="1">
        <v>1</v>
      </c>
      <c r="X11" s="1"/>
      <c r="Y11" s="1"/>
      <c r="Z11" s="1" t="s">
        <v>73</v>
      </c>
      <c r="AA11" s="1" t="s">
        <v>73</v>
      </c>
      <c r="AB11">
        <v>4</v>
      </c>
      <c r="AC11" s="1">
        <v>9</v>
      </c>
      <c r="AD11">
        <v>2</v>
      </c>
      <c r="AE11" s="1">
        <v>2</v>
      </c>
      <c r="AF11" s="1">
        <v>2</v>
      </c>
      <c r="AG11">
        <v>9</v>
      </c>
      <c r="AH11">
        <v>2</v>
      </c>
      <c r="AI11">
        <v>2</v>
      </c>
      <c r="AJ11">
        <v>2</v>
      </c>
      <c r="AK11" s="1" t="s">
        <v>73</v>
      </c>
      <c r="AL11" s="1" t="s">
        <v>73</v>
      </c>
      <c r="AN11" s="1" t="s">
        <v>73</v>
      </c>
      <c r="AP11" s="1" t="s">
        <v>73</v>
      </c>
      <c r="AR11" s="1" t="s">
        <v>73</v>
      </c>
      <c r="AT11" t="s">
        <v>73</v>
      </c>
      <c r="AW11" s="1">
        <v>130</v>
      </c>
      <c r="AX11" s="1">
        <v>35</v>
      </c>
      <c r="AY11" s="1" t="s">
        <v>73</v>
      </c>
      <c r="AZ11" s="1" t="s">
        <v>73</v>
      </c>
      <c r="BA11" s="126" t="s">
        <v>73</v>
      </c>
      <c r="BB11" s="1">
        <v>1925</v>
      </c>
      <c r="BC11" s="100">
        <v>45652.501550925925</v>
      </c>
      <c r="BD11" s="85">
        <v>45652.45988425926</v>
      </c>
      <c r="BE11" s="1" t="s">
        <v>73</v>
      </c>
      <c r="BF11" s="1" t="s">
        <v>73</v>
      </c>
      <c r="BG11" s="1" t="s">
        <v>73</v>
      </c>
      <c r="BH11" s="1" t="s">
        <v>73</v>
      </c>
      <c r="BI11" s="1" t="s">
        <v>73</v>
      </c>
      <c r="BJ11" s="1" t="s">
        <v>73</v>
      </c>
      <c r="BK11" s="1"/>
      <c r="BL11" s="1" t="s">
        <v>73</v>
      </c>
      <c r="BM11" s="1" t="s">
        <v>73</v>
      </c>
      <c r="BN11" s="1" t="s">
        <v>73</v>
      </c>
      <c r="BO11" s="1" t="s">
        <v>73</v>
      </c>
      <c r="BP11" s="1" t="s">
        <v>73</v>
      </c>
      <c r="BQ11" s="1" t="s">
        <v>73</v>
      </c>
      <c r="BR11" s="1"/>
      <c r="BS11" s="1" t="s">
        <v>75</v>
      </c>
      <c r="BT11" s="1" t="s">
        <v>290</v>
      </c>
      <c r="BU11" s="1" t="s">
        <v>189</v>
      </c>
      <c r="BV11" s="1" t="s">
        <v>291</v>
      </c>
      <c r="BW11" s="1">
        <v>18</v>
      </c>
      <c r="CB11"/>
      <c r="CC11"/>
    </row>
    <row r="12" spans="1:83" ht="16" x14ac:dyDescent="0.2">
      <c r="A12" t="s">
        <v>167</v>
      </c>
      <c r="B12" t="s">
        <v>278</v>
      </c>
      <c r="C12" t="s">
        <v>279</v>
      </c>
      <c r="D12" s="1" t="s">
        <v>73</v>
      </c>
      <c r="E12" s="1" t="s">
        <v>72</v>
      </c>
      <c r="F12" s="1" t="s">
        <v>72</v>
      </c>
      <c r="G12" s="1" t="s">
        <v>73</v>
      </c>
      <c r="H12" s="1" t="s">
        <v>72</v>
      </c>
      <c r="I12" s="1">
        <v>6</v>
      </c>
      <c r="J12">
        <v>6</v>
      </c>
      <c r="N12" s="1"/>
      <c r="O12" s="1"/>
      <c r="P12" s="1"/>
      <c r="Q12" s="1" t="s">
        <v>73</v>
      </c>
      <c r="R12" s="1" t="s">
        <v>73</v>
      </c>
      <c r="S12" s="1" t="s">
        <v>73</v>
      </c>
      <c r="T12" s="79"/>
      <c r="U12" s="79"/>
      <c r="V12" s="1"/>
      <c r="W12" s="1"/>
      <c r="X12" s="1"/>
      <c r="Y12" s="1"/>
      <c r="Z12" s="1" t="s">
        <v>73</v>
      </c>
      <c r="AA12" s="1" t="s">
        <v>73</v>
      </c>
      <c r="AB12">
        <v>3</v>
      </c>
      <c r="AC12" s="1">
        <v>3</v>
      </c>
      <c r="AE12" s="1"/>
      <c r="AF12" s="1"/>
      <c r="AG12">
        <v>3</v>
      </c>
      <c r="AK12" s="1" t="s">
        <v>73</v>
      </c>
      <c r="AL12" s="1" t="s">
        <v>73</v>
      </c>
      <c r="AN12" s="1" t="s">
        <v>73</v>
      </c>
      <c r="AP12" s="1" t="s">
        <v>73</v>
      </c>
      <c r="AR12" s="1" t="s">
        <v>73</v>
      </c>
      <c r="AT12" t="s">
        <v>73</v>
      </c>
      <c r="AW12" s="1">
        <v>100</v>
      </c>
      <c r="AX12" s="1">
        <v>30</v>
      </c>
      <c r="AY12" s="1" t="s">
        <v>72</v>
      </c>
      <c r="AZ12" s="1" t="s">
        <v>72</v>
      </c>
      <c r="BA12" s="126" t="s">
        <v>73</v>
      </c>
      <c r="BB12" s="1">
        <v>1916</v>
      </c>
      <c r="BC12" s="100">
        <v>45649.823298611111</v>
      </c>
      <c r="BD12" s="85">
        <v>45649.781631944446</v>
      </c>
      <c r="BE12" s="1" t="s">
        <v>73</v>
      </c>
      <c r="BF12" s="1" t="s">
        <v>73</v>
      </c>
      <c r="BG12" s="1" t="s">
        <v>73</v>
      </c>
      <c r="BH12" s="1" t="s">
        <v>73</v>
      </c>
      <c r="BI12" s="1" t="s">
        <v>73</v>
      </c>
      <c r="BJ12" s="1" t="s">
        <v>73</v>
      </c>
      <c r="BK12" s="1"/>
      <c r="BL12" s="1" t="s">
        <v>73</v>
      </c>
      <c r="BM12" s="1" t="s">
        <v>73</v>
      </c>
      <c r="BN12" s="1" t="s">
        <v>73</v>
      </c>
      <c r="BO12" s="1" t="s">
        <v>73</v>
      </c>
      <c r="BP12" s="1" t="s">
        <v>73</v>
      </c>
      <c r="BQ12" s="1" t="s">
        <v>73</v>
      </c>
      <c r="BR12" s="1"/>
      <c r="BS12" s="1" t="s">
        <v>75</v>
      </c>
      <c r="BT12" s="1" t="s">
        <v>280</v>
      </c>
      <c r="BU12" s="1" t="s">
        <v>281</v>
      </c>
      <c r="BV12" s="1" t="s">
        <v>282</v>
      </c>
      <c r="BW12" s="1">
        <v>12</v>
      </c>
      <c r="CB12"/>
      <c r="CC12"/>
    </row>
    <row r="13" spans="1:83" ht="16" x14ac:dyDescent="0.2">
      <c r="A13" t="s">
        <v>167</v>
      </c>
      <c r="B13" t="s">
        <v>262</v>
      </c>
      <c r="C13" t="s">
        <v>263</v>
      </c>
      <c r="D13" s="1" t="s">
        <v>73</v>
      </c>
      <c r="E13" s="1" t="s">
        <v>72</v>
      </c>
      <c r="F13" s="1" t="s">
        <v>72</v>
      </c>
      <c r="G13" s="1" t="s">
        <v>72</v>
      </c>
      <c r="H13" s="1" t="s">
        <v>74</v>
      </c>
      <c r="I13" s="1">
        <v>10</v>
      </c>
      <c r="L13">
        <v>3</v>
      </c>
      <c r="N13" s="1"/>
      <c r="O13" s="1"/>
      <c r="P13" s="1"/>
      <c r="Q13" s="1" t="s">
        <v>73</v>
      </c>
      <c r="R13" s="1" t="s">
        <v>73</v>
      </c>
      <c r="S13" s="1" t="s">
        <v>73</v>
      </c>
      <c r="T13" s="79"/>
      <c r="U13" s="79">
        <v>1</v>
      </c>
      <c r="V13" s="1">
        <v>1</v>
      </c>
      <c r="W13" s="1"/>
      <c r="X13" s="1">
        <v>1</v>
      </c>
      <c r="Y13" s="1">
        <v>1</v>
      </c>
      <c r="Z13" s="1" t="s">
        <v>73</v>
      </c>
      <c r="AA13" s="1" t="s">
        <v>73</v>
      </c>
      <c r="AB13">
        <v>5</v>
      </c>
      <c r="AC13" s="1">
        <v>9</v>
      </c>
      <c r="AE13" s="1">
        <v>1</v>
      </c>
      <c r="AF13" s="1"/>
      <c r="AG13">
        <v>9</v>
      </c>
      <c r="AI13">
        <v>1</v>
      </c>
      <c r="AK13" s="1" t="s">
        <v>73</v>
      </c>
      <c r="AL13" s="1" t="s">
        <v>73</v>
      </c>
      <c r="AN13" s="1" t="s">
        <v>73</v>
      </c>
      <c r="AP13" s="1" t="s">
        <v>73</v>
      </c>
      <c r="AR13" s="1" t="s">
        <v>73</v>
      </c>
      <c r="AT13" t="s">
        <v>73</v>
      </c>
      <c r="AW13" s="1">
        <v>70</v>
      </c>
      <c r="AX13" s="1">
        <v>26</v>
      </c>
      <c r="AY13" s="1" t="s">
        <v>73</v>
      </c>
      <c r="AZ13" s="1" t="s">
        <v>73</v>
      </c>
      <c r="BA13" s="126" t="s">
        <v>73</v>
      </c>
      <c r="BB13" s="1">
        <v>1897</v>
      </c>
      <c r="BC13" s="100">
        <v>45648.873472222222</v>
      </c>
      <c r="BD13" s="85">
        <v>45648.831805555557</v>
      </c>
      <c r="BE13" s="1" t="s">
        <v>73</v>
      </c>
      <c r="BF13" s="1" t="s">
        <v>73</v>
      </c>
      <c r="BG13" s="1" t="s">
        <v>73</v>
      </c>
      <c r="BH13" s="1" t="s">
        <v>73</v>
      </c>
      <c r="BI13" s="1" t="s">
        <v>73</v>
      </c>
      <c r="BJ13" s="1" t="s">
        <v>73</v>
      </c>
      <c r="BK13" s="1"/>
      <c r="BL13" s="1" t="s">
        <v>73</v>
      </c>
      <c r="BM13" s="1" t="s">
        <v>73</v>
      </c>
      <c r="BN13" s="1" t="s">
        <v>73</v>
      </c>
      <c r="BO13" s="1" t="s">
        <v>73</v>
      </c>
      <c r="BP13" s="1" t="s">
        <v>73</v>
      </c>
      <c r="BQ13" s="1" t="s">
        <v>73</v>
      </c>
      <c r="BR13" s="1"/>
      <c r="BS13" s="1" t="s">
        <v>75</v>
      </c>
      <c r="BT13" s="1" t="s">
        <v>264</v>
      </c>
      <c r="BU13" s="1" t="s">
        <v>265</v>
      </c>
      <c r="BV13" s="1" t="s">
        <v>266</v>
      </c>
      <c r="BW13" s="1">
        <v>20</v>
      </c>
      <c r="CB13"/>
      <c r="CC13"/>
    </row>
    <row r="14" spans="1:83" ht="48" x14ac:dyDescent="0.2">
      <c r="A14" t="s">
        <v>167</v>
      </c>
      <c r="B14" t="s">
        <v>231</v>
      </c>
      <c r="C14" t="s">
        <v>232</v>
      </c>
      <c r="D14" s="1" t="s">
        <v>73</v>
      </c>
      <c r="E14" s="1" t="s">
        <v>72</v>
      </c>
      <c r="F14" s="1" t="s">
        <v>72</v>
      </c>
      <c r="G14" s="1" t="s">
        <v>73</v>
      </c>
      <c r="H14" s="1"/>
      <c r="I14" s="1">
        <v>10</v>
      </c>
      <c r="N14" s="1"/>
      <c r="O14" s="1"/>
      <c r="P14" s="1"/>
      <c r="Q14" s="1" t="s">
        <v>73</v>
      </c>
      <c r="R14" s="1" t="s">
        <v>73</v>
      </c>
      <c r="S14" s="1" t="s">
        <v>73</v>
      </c>
      <c r="T14" s="79"/>
      <c r="U14" s="79"/>
      <c r="V14" s="1"/>
      <c r="W14" s="1"/>
      <c r="X14" s="1"/>
      <c r="Y14" s="1"/>
      <c r="Z14" s="1" t="s">
        <v>73</v>
      </c>
      <c r="AA14" s="1" t="s">
        <v>73</v>
      </c>
      <c r="AC14" s="1">
        <v>5</v>
      </c>
      <c r="AE14" s="1"/>
      <c r="AF14" s="1"/>
      <c r="AG14">
        <v>5</v>
      </c>
      <c r="AK14" s="1" t="s">
        <v>73</v>
      </c>
      <c r="AL14" s="1" t="s">
        <v>73</v>
      </c>
      <c r="AN14" s="1" t="s">
        <v>73</v>
      </c>
      <c r="AP14" s="1" t="s">
        <v>73</v>
      </c>
      <c r="AR14" s="1" t="s">
        <v>73</v>
      </c>
      <c r="AT14" t="s">
        <v>73</v>
      </c>
      <c r="AW14" s="1">
        <v>70</v>
      </c>
      <c r="AX14" s="1">
        <v>5</v>
      </c>
      <c r="AY14" s="1" t="s">
        <v>72</v>
      </c>
      <c r="AZ14" s="1" t="s">
        <v>73</v>
      </c>
      <c r="BA14" s="126" t="s">
        <v>233</v>
      </c>
      <c r="BB14" s="1">
        <v>1872</v>
      </c>
      <c r="BC14" s="100">
        <v>45645.466805555552</v>
      </c>
      <c r="BD14" s="85">
        <v>45645.425138888888</v>
      </c>
      <c r="BE14" s="1" t="s">
        <v>73</v>
      </c>
      <c r="BF14" s="1" t="s">
        <v>73</v>
      </c>
      <c r="BG14" s="1" t="s">
        <v>73</v>
      </c>
      <c r="BH14" s="1" t="s">
        <v>73</v>
      </c>
      <c r="BI14" s="1" t="s">
        <v>73</v>
      </c>
      <c r="BJ14" s="1" t="s">
        <v>73</v>
      </c>
      <c r="BK14" s="1"/>
      <c r="BL14" s="1" t="s">
        <v>73</v>
      </c>
      <c r="BM14" s="1" t="s">
        <v>73</v>
      </c>
      <c r="BN14" s="1" t="s">
        <v>73</v>
      </c>
      <c r="BO14" s="1" t="s">
        <v>73</v>
      </c>
      <c r="BP14" s="1" t="s">
        <v>73</v>
      </c>
      <c r="BQ14" s="1" t="s">
        <v>73</v>
      </c>
      <c r="BR14" s="1"/>
      <c r="BS14" s="1" t="s">
        <v>73</v>
      </c>
      <c r="BT14" s="1" t="s">
        <v>73</v>
      </c>
      <c r="BU14" s="1" t="s">
        <v>73</v>
      </c>
      <c r="BV14" s="1" t="s">
        <v>73</v>
      </c>
      <c r="BW14" s="1"/>
      <c r="CB14"/>
      <c r="CC14"/>
    </row>
    <row r="15" spans="1:83" ht="16" x14ac:dyDescent="0.2">
      <c r="A15" t="s">
        <v>167</v>
      </c>
      <c r="B15" t="s">
        <v>203</v>
      </c>
      <c r="C15" t="s">
        <v>204</v>
      </c>
      <c r="D15" s="1" t="s">
        <v>73</v>
      </c>
      <c r="E15" s="1" t="s">
        <v>72</v>
      </c>
      <c r="F15" s="1" t="s">
        <v>73</v>
      </c>
      <c r="G15" s="1" t="s">
        <v>73</v>
      </c>
      <c r="H15" s="1"/>
      <c r="I15" s="1"/>
      <c r="N15" s="1"/>
      <c r="O15" s="1"/>
      <c r="P15" s="1"/>
      <c r="Q15" s="1" t="s">
        <v>73</v>
      </c>
      <c r="R15" s="1" t="s">
        <v>73</v>
      </c>
      <c r="S15" s="1" t="s">
        <v>73</v>
      </c>
      <c r="T15" s="79"/>
      <c r="U15" s="79"/>
      <c r="V15" s="1"/>
      <c r="W15" s="1"/>
      <c r="X15" s="1"/>
      <c r="Y15" s="1"/>
      <c r="Z15" s="1" t="s">
        <v>73</v>
      </c>
      <c r="AA15" s="1" t="s">
        <v>73</v>
      </c>
      <c r="AC15" s="1"/>
      <c r="AE15" s="1"/>
      <c r="AF15" s="1"/>
      <c r="AK15" s="1" t="s">
        <v>73</v>
      </c>
      <c r="AL15" s="1" t="s">
        <v>73</v>
      </c>
      <c r="AN15" s="1" t="s">
        <v>73</v>
      </c>
      <c r="AP15" s="1" t="s">
        <v>73</v>
      </c>
      <c r="AR15" s="1" t="s">
        <v>73</v>
      </c>
      <c r="AT15" t="s">
        <v>73</v>
      </c>
      <c r="AW15" s="1">
        <v>55</v>
      </c>
      <c r="AX15" s="1">
        <v>2</v>
      </c>
      <c r="AY15" s="1" t="s">
        <v>72</v>
      </c>
      <c r="AZ15" s="1" t="s">
        <v>73</v>
      </c>
      <c r="BA15" s="126" t="s">
        <v>73</v>
      </c>
      <c r="BB15" s="1">
        <v>1842</v>
      </c>
      <c r="BC15" s="100">
        <v>45642.662719907406</v>
      </c>
      <c r="BD15" s="85">
        <v>45642.621053240742</v>
      </c>
      <c r="BE15" s="1" t="s">
        <v>73</v>
      </c>
      <c r="BF15" s="1" t="s">
        <v>73</v>
      </c>
      <c r="BG15" s="1" t="s">
        <v>73</v>
      </c>
      <c r="BH15" s="1" t="s">
        <v>73</v>
      </c>
      <c r="BI15" s="1" t="s">
        <v>73</v>
      </c>
      <c r="BJ15" s="1" t="s">
        <v>73</v>
      </c>
      <c r="BK15" s="1"/>
      <c r="BL15" s="1" t="s">
        <v>73</v>
      </c>
      <c r="BM15" s="1" t="s">
        <v>73</v>
      </c>
      <c r="BN15" s="1" t="s">
        <v>73</v>
      </c>
      <c r="BO15" s="1" t="s">
        <v>73</v>
      </c>
      <c r="BP15" s="1" t="s">
        <v>73</v>
      </c>
      <c r="BQ15" s="1" t="s">
        <v>73</v>
      </c>
      <c r="BR15" s="1"/>
      <c r="BS15" s="1" t="s">
        <v>73</v>
      </c>
      <c r="BT15" s="1" t="s">
        <v>73</v>
      </c>
      <c r="BU15" s="1" t="s">
        <v>73</v>
      </c>
      <c r="BV15" s="1" t="s">
        <v>73</v>
      </c>
      <c r="BW15" s="1"/>
      <c r="CB15"/>
      <c r="CC15"/>
    </row>
    <row r="16" spans="1:83" ht="16" x14ac:dyDescent="0.2">
      <c r="A16" t="s">
        <v>167</v>
      </c>
      <c r="B16" t="s">
        <v>153</v>
      </c>
      <c r="C16" t="s">
        <v>154</v>
      </c>
      <c r="D16" s="1" t="s">
        <v>73</v>
      </c>
      <c r="E16" s="1" t="s">
        <v>72</v>
      </c>
      <c r="F16" s="1" t="s">
        <v>72</v>
      </c>
      <c r="G16" s="1" t="s">
        <v>73</v>
      </c>
      <c r="H16" s="1"/>
      <c r="I16" s="1">
        <v>14</v>
      </c>
      <c r="N16" s="1">
        <v>6</v>
      </c>
      <c r="O16" s="1"/>
      <c r="P16" s="1"/>
      <c r="Q16" s="1" t="s">
        <v>73</v>
      </c>
      <c r="R16" s="1" t="s">
        <v>73</v>
      </c>
      <c r="S16" s="1" t="s">
        <v>73</v>
      </c>
      <c r="T16" s="79">
        <v>5</v>
      </c>
      <c r="U16" s="79"/>
      <c r="V16" s="1"/>
      <c r="W16" s="1">
        <v>5</v>
      </c>
      <c r="X16" s="1"/>
      <c r="Y16" s="1"/>
      <c r="Z16" s="1" t="s">
        <v>73</v>
      </c>
      <c r="AA16" s="1" t="s">
        <v>73</v>
      </c>
      <c r="AC16" s="1">
        <v>5</v>
      </c>
      <c r="AE16" s="1"/>
      <c r="AF16" s="1"/>
      <c r="AG16">
        <v>5</v>
      </c>
      <c r="AK16" s="1" t="s">
        <v>73</v>
      </c>
      <c r="AL16" s="1" t="s">
        <v>73</v>
      </c>
      <c r="AN16" s="1" t="s">
        <v>73</v>
      </c>
      <c r="AP16" s="1" t="s">
        <v>73</v>
      </c>
      <c r="AR16" s="1" t="s">
        <v>73</v>
      </c>
      <c r="AT16" t="s">
        <v>73</v>
      </c>
      <c r="AW16" s="1">
        <v>50</v>
      </c>
      <c r="AX16" s="1">
        <v>10</v>
      </c>
      <c r="AY16" s="1" t="s">
        <v>72</v>
      </c>
      <c r="AZ16" s="1" t="s">
        <v>73</v>
      </c>
      <c r="BA16" s="126" t="s">
        <v>73</v>
      </c>
      <c r="BB16" s="1">
        <v>1837</v>
      </c>
      <c r="BC16" s="100">
        <v>45641.532141203701</v>
      </c>
      <c r="BD16" s="85">
        <v>45641.490474537037</v>
      </c>
      <c r="BE16" s="1" t="s">
        <v>73</v>
      </c>
      <c r="BF16" s="1" t="s">
        <v>73</v>
      </c>
      <c r="BG16" s="1" t="s">
        <v>73</v>
      </c>
      <c r="BH16" s="1" t="s">
        <v>73</v>
      </c>
      <c r="BI16" s="1" t="s">
        <v>73</v>
      </c>
      <c r="BJ16" s="1" t="s">
        <v>73</v>
      </c>
      <c r="BK16" s="1"/>
      <c r="BL16" s="1" t="s">
        <v>73</v>
      </c>
      <c r="BM16" s="1" t="s">
        <v>73</v>
      </c>
      <c r="BN16" s="1" t="s">
        <v>73</v>
      </c>
      <c r="BO16" s="1" t="s">
        <v>73</v>
      </c>
      <c r="BP16" s="1" t="s">
        <v>73</v>
      </c>
      <c r="BQ16" s="1" t="s">
        <v>73</v>
      </c>
      <c r="BR16" s="1"/>
      <c r="BS16" s="1" t="s">
        <v>73</v>
      </c>
      <c r="BT16" s="1" t="s">
        <v>73</v>
      </c>
      <c r="BU16" s="1" t="s">
        <v>73</v>
      </c>
      <c r="BV16" s="1" t="s">
        <v>73</v>
      </c>
      <c r="BW16" s="1"/>
      <c r="CB16"/>
      <c r="CC16"/>
    </row>
    <row r="17" spans="1:81" ht="16" x14ac:dyDescent="0.2">
      <c r="A17" t="s">
        <v>167</v>
      </c>
      <c r="B17" t="s">
        <v>186</v>
      </c>
      <c r="C17" t="s">
        <v>187</v>
      </c>
      <c r="D17" s="1" t="s">
        <v>73</v>
      </c>
      <c r="E17" s="1" t="s">
        <v>72</v>
      </c>
      <c r="F17" s="1" t="s">
        <v>73</v>
      </c>
      <c r="G17" s="1" t="s">
        <v>72</v>
      </c>
      <c r="H17" s="1" t="s">
        <v>74</v>
      </c>
      <c r="I17" s="1">
        <v>7</v>
      </c>
      <c r="N17" s="1"/>
      <c r="O17" s="1"/>
      <c r="P17" s="1"/>
      <c r="Q17" s="1" t="s">
        <v>73</v>
      </c>
      <c r="R17" s="1" t="s">
        <v>73</v>
      </c>
      <c r="S17" s="1" t="s">
        <v>73</v>
      </c>
      <c r="T17" s="79"/>
      <c r="U17" s="79"/>
      <c r="V17" s="1"/>
      <c r="W17" s="1">
        <v>1</v>
      </c>
      <c r="X17" s="1"/>
      <c r="Y17" s="1"/>
      <c r="Z17" s="1" t="s">
        <v>73</v>
      </c>
      <c r="AA17" s="1" t="s">
        <v>73</v>
      </c>
      <c r="AB17">
        <v>4</v>
      </c>
      <c r="AC17" s="1">
        <v>5</v>
      </c>
      <c r="AE17" s="1"/>
      <c r="AF17" s="1"/>
      <c r="AG17">
        <v>4</v>
      </c>
      <c r="AK17" s="1" t="s">
        <v>73</v>
      </c>
      <c r="AL17" s="1" t="s">
        <v>73</v>
      </c>
      <c r="AN17" s="1" t="s">
        <v>73</v>
      </c>
      <c r="AP17" s="1" t="s">
        <v>73</v>
      </c>
      <c r="AR17" s="1" t="s">
        <v>73</v>
      </c>
      <c r="AT17" t="s">
        <v>73</v>
      </c>
      <c r="AW17" s="1">
        <v>90</v>
      </c>
      <c r="AX17" s="1">
        <v>20</v>
      </c>
      <c r="AY17" s="1" t="s">
        <v>72</v>
      </c>
      <c r="AZ17" s="1" t="s">
        <v>73</v>
      </c>
      <c r="BA17" s="126" t="s">
        <v>73</v>
      </c>
      <c r="BB17" s="1">
        <v>1835</v>
      </c>
      <c r="BC17" s="100">
        <v>45639.889189814814</v>
      </c>
      <c r="BD17" s="85">
        <v>45639.84752314815</v>
      </c>
      <c r="BE17" s="1" t="s">
        <v>73</v>
      </c>
      <c r="BF17" s="1" t="s">
        <v>73</v>
      </c>
      <c r="BG17" s="1" t="s">
        <v>73</v>
      </c>
      <c r="BH17" s="1" t="s">
        <v>73</v>
      </c>
      <c r="BI17" s="1" t="s">
        <v>73</v>
      </c>
      <c r="BJ17" s="1" t="s">
        <v>73</v>
      </c>
      <c r="BK17" s="1"/>
      <c r="BL17" s="1" t="s">
        <v>73</v>
      </c>
      <c r="BM17" s="1" t="s">
        <v>73</v>
      </c>
      <c r="BN17" s="1" t="s">
        <v>73</v>
      </c>
      <c r="BO17" s="1" t="s">
        <v>73</v>
      </c>
      <c r="BP17" s="1" t="s">
        <v>73</v>
      </c>
      <c r="BQ17" s="1" t="s">
        <v>73</v>
      </c>
      <c r="BR17" s="1"/>
      <c r="BS17" s="1" t="s">
        <v>75</v>
      </c>
      <c r="BT17" s="1" t="s">
        <v>188</v>
      </c>
      <c r="BU17" s="1" t="s">
        <v>189</v>
      </c>
      <c r="BV17" s="1" t="s">
        <v>190</v>
      </c>
      <c r="BW17" s="1">
        <v>8</v>
      </c>
      <c r="CB17"/>
      <c r="CC17"/>
    </row>
    <row r="18" spans="1:81" s="32" customFormat="1" ht="16" x14ac:dyDescent="0.2">
      <c r="A18" t="s">
        <v>167</v>
      </c>
      <c r="B18" t="s">
        <v>172</v>
      </c>
      <c r="C18" t="s">
        <v>168</v>
      </c>
      <c r="D18" s="1" t="s">
        <v>73</v>
      </c>
      <c r="E18" s="1" t="s">
        <v>72</v>
      </c>
      <c r="F18" s="1" t="s">
        <v>72</v>
      </c>
      <c r="G18" s="1" t="s">
        <v>73</v>
      </c>
      <c r="H18" s="1" t="s">
        <v>72</v>
      </c>
      <c r="I18" s="1">
        <v>10</v>
      </c>
      <c r="J18">
        <v>3</v>
      </c>
      <c r="K18"/>
      <c r="L18">
        <v>7</v>
      </c>
      <c r="M18"/>
      <c r="N18" s="1"/>
      <c r="O18" s="1"/>
      <c r="P18" s="1"/>
      <c r="Q18" s="1" t="s">
        <v>73</v>
      </c>
      <c r="R18" s="1" t="s">
        <v>73</v>
      </c>
      <c r="S18" s="1" t="s">
        <v>73</v>
      </c>
      <c r="T18" s="79"/>
      <c r="U18" s="79"/>
      <c r="V18" s="1"/>
      <c r="W18" s="1"/>
      <c r="X18" s="1"/>
      <c r="Y18" s="1"/>
      <c r="Z18" s="1" t="s">
        <v>73</v>
      </c>
      <c r="AA18" s="1" t="s">
        <v>73</v>
      </c>
      <c r="AB18">
        <v>1</v>
      </c>
      <c r="AC18" s="1">
        <v>11</v>
      </c>
      <c r="AD18"/>
      <c r="AE18" s="1"/>
      <c r="AF18" s="1">
        <v>4</v>
      </c>
      <c r="AG18">
        <v>11</v>
      </c>
      <c r="AH18"/>
      <c r="AI18"/>
      <c r="AJ18">
        <v>4</v>
      </c>
      <c r="AK18" s="1" t="s">
        <v>73</v>
      </c>
      <c r="AL18" s="1" t="s">
        <v>73</v>
      </c>
      <c r="AM18"/>
      <c r="AN18" s="1" t="s">
        <v>73</v>
      </c>
      <c r="AO18"/>
      <c r="AP18" s="1" t="s">
        <v>73</v>
      </c>
      <c r="AQ18"/>
      <c r="AR18" s="1" t="s">
        <v>73</v>
      </c>
      <c r="AS18"/>
      <c r="AT18" t="s">
        <v>73</v>
      </c>
      <c r="AU18"/>
      <c r="AV18"/>
      <c r="AW18" s="1">
        <v>105</v>
      </c>
      <c r="AX18" s="1">
        <v>26</v>
      </c>
      <c r="AY18" s="1" t="s">
        <v>73</v>
      </c>
      <c r="AZ18" s="1" t="s">
        <v>73</v>
      </c>
      <c r="BA18" s="126" t="s">
        <v>73</v>
      </c>
      <c r="BB18" s="1">
        <v>1832</v>
      </c>
      <c r="BC18" s="100">
        <v>45639.39634259259</v>
      </c>
      <c r="BD18" s="85">
        <v>45639.354675925926</v>
      </c>
      <c r="BE18" s="1" t="s">
        <v>73</v>
      </c>
      <c r="BF18" s="1" t="s">
        <v>73</v>
      </c>
      <c r="BG18" s="1" t="s">
        <v>73</v>
      </c>
      <c r="BH18" s="1" t="s">
        <v>73</v>
      </c>
      <c r="BI18" s="1" t="s">
        <v>73</v>
      </c>
      <c r="BJ18" s="1" t="s">
        <v>73</v>
      </c>
      <c r="BK18" s="1"/>
      <c r="BL18" s="1" t="s">
        <v>73</v>
      </c>
      <c r="BM18" s="1" t="s">
        <v>73</v>
      </c>
      <c r="BN18" s="1" t="s">
        <v>73</v>
      </c>
      <c r="BO18" s="1" t="s">
        <v>73</v>
      </c>
      <c r="BP18" s="1" t="s">
        <v>73</v>
      </c>
      <c r="BQ18" s="1" t="s">
        <v>73</v>
      </c>
      <c r="BR18" s="1"/>
      <c r="BS18" s="1" t="s">
        <v>169</v>
      </c>
      <c r="BT18" s="1" t="s">
        <v>196</v>
      </c>
      <c r="BU18" s="1" t="s">
        <v>197</v>
      </c>
      <c r="BV18" s="1" t="s">
        <v>198</v>
      </c>
      <c r="BW18" s="1">
        <v>16</v>
      </c>
      <c r="BX18"/>
      <c r="BY18"/>
    </row>
    <row r="19" spans="1:81" ht="16" x14ac:dyDescent="0.2">
      <c r="A19" t="s">
        <v>134</v>
      </c>
      <c r="B19" t="s">
        <v>343</v>
      </c>
      <c r="C19" t="s">
        <v>344</v>
      </c>
      <c r="D19" s="1" t="s">
        <v>73</v>
      </c>
      <c r="E19" s="1" t="s">
        <v>72</v>
      </c>
      <c r="F19" s="1" t="s">
        <v>72</v>
      </c>
      <c r="G19" s="1" t="s">
        <v>73</v>
      </c>
      <c r="H19" s="1"/>
      <c r="I19" s="1">
        <v>8</v>
      </c>
      <c r="J19">
        <v>5</v>
      </c>
      <c r="N19" s="1"/>
      <c r="O19" s="1"/>
      <c r="P19" s="1"/>
      <c r="Q19" s="1" t="s">
        <v>73</v>
      </c>
      <c r="R19" s="1" t="s">
        <v>73</v>
      </c>
      <c r="S19" s="1" t="s">
        <v>73</v>
      </c>
      <c r="T19" s="79"/>
      <c r="U19" s="79"/>
      <c r="V19" s="1"/>
      <c r="W19" s="1"/>
      <c r="X19" s="1"/>
      <c r="Y19" s="1"/>
      <c r="Z19" s="1" t="s">
        <v>73</v>
      </c>
      <c r="AA19" s="1" t="s">
        <v>73</v>
      </c>
      <c r="AC19" s="1">
        <v>2</v>
      </c>
      <c r="AE19" s="1"/>
      <c r="AF19" s="1"/>
      <c r="AG19">
        <v>2</v>
      </c>
      <c r="AK19" s="1" t="s">
        <v>73</v>
      </c>
      <c r="AL19" s="1" t="s">
        <v>72</v>
      </c>
      <c r="AM19">
        <v>6</v>
      </c>
      <c r="AN19" s="1" t="s">
        <v>73</v>
      </c>
      <c r="AP19" s="1" t="s">
        <v>73</v>
      </c>
      <c r="AR19" s="1" t="s">
        <v>73</v>
      </c>
      <c r="AT19" t="s">
        <v>73</v>
      </c>
      <c r="AW19" s="1">
        <v>25</v>
      </c>
      <c r="AX19" s="1">
        <v>8</v>
      </c>
      <c r="AY19" s="1" t="s">
        <v>73</v>
      </c>
      <c r="AZ19" s="1" t="s">
        <v>73</v>
      </c>
      <c r="BA19" s="126" t="s">
        <v>73</v>
      </c>
      <c r="BB19" s="1">
        <v>1977</v>
      </c>
      <c r="BC19" s="100">
        <v>45656.750740740739</v>
      </c>
      <c r="BD19" s="85">
        <v>45656.709074074075</v>
      </c>
      <c r="BE19" s="1" t="s">
        <v>73</v>
      </c>
      <c r="BF19" s="1" t="s">
        <v>73</v>
      </c>
      <c r="BG19" s="1" t="s">
        <v>73</v>
      </c>
      <c r="BH19" s="1" t="s">
        <v>73</v>
      </c>
      <c r="BI19" s="1" t="s">
        <v>73</v>
      </c>
      <c r="BJ19" s="1" t="s">
        <v>73</v>
      </c>
      <c r="BK19" s="1"/>
      <c r="BL19" s="1" t="s">
        <v>73</v>
      </c>
      <c r="BM19" s="1" t="s">
        <v>73</v>
      </c>
      <c r="BN19" s="1" t="s">
        <v>73</v>
      </c>
      <c r="BO19" s="1" t="s">
        <v>73</v>
      </c>
      <c r="BP19" s="1" t="s">
        <v>73</v>
      </c>
      <c r="BQ19" s="1" t="s">
        <v>73</v>
      </c>
      <c r="BR19" s="1"/>
      <c r="BS19" s="1" t="s">
        <v>73</v>
      </c>
      <c r="BT19" s="1" t="s">
        <v>73</v>
      </c>
      <c r="BU19" s="1" t="s">
        <v>73</v>
      </c>
      <c r="BV19" s="1" t="s">
        <v>73</v>
      </c>
      <c r="BW19" s="1"/>
      <c r="CB19"/>
      <c r="CC19"/>
    </row>
    <row r="20" spans="1:81" ht="16" x14ac:dyDescent="0.2">
      <c r="A20" t="s">
        <v>134</v>
      </c>
      <c r="B20" t="s">
        <v>345</v>
      </c>
      <c r="C20" t="s">
        <v>346</v>
      </c>
      <c r="D20" s="1" t="s">
        <v>73</v>
      </c>
      <c r="E20" s="1" t="s">
        <v>72</v>
      </c>
      <c r="F20" s="1" t="s">
        <v>73</v>
      </c>
      <c r="G20" s="1" t="s">
        <v>73</v>
      </c>
      <c r="H20" s="1"/>
      <c r="I20" s="1">
        <v>10</v>
      </c>
      <c r="L20">
        <v>4</v>
      </c>
      <c r="N20" s="1"/>
      <c r="O20" s="1"/>
      <c r="P20" s="1"/>
      <c r="Q20" s="1" t="s">
        <v>73</v>
      </c>
      <c r="R20" s="1" t="s">
        <v>73</v>
      </c>
      <c r="S20" s="1" t="s">
        <v>73</v>
      </c>
      <c r="T20" s="79">
        <v>1</v>
      </c>
      <c r="U20" s="79"/>
      <c r="V20" s="1"/>
      <c r="W20" s="1">
        <v>1</v>
      </c>
      <c r="X20" s="1"/>
      <c r="Y20" s="1"/>
      <c r="Z20" s="1" t="s">
        <v>73</v>
      </c>
      <c r="AA20" s="1" t="s">
        <v>73</v>
      </c>
      <c r="AC20" s="1">
        <v>4</v>
      </c>
      <c r="AE20" s="1"/>
      <c r="AF20" s="1"/>
      <c r="AG20">
        <v>4</v>
      </c>
      <c r="AK20" s="1" t="s">
        <v>72</v>
      </c>
      <c r="AL20" s="1" t="s">
        <v>72</v>
      </c>
      <c r="AM20">
        <v>6</v>
      </c>
      <c r="AN20" s="1" t="s">
        <v>72</v>
      </c>
      <c r="AO20">
        <v>6</v>
      </c>
      <c r="AP20" s="1" t="s">
        <v>73</v>
      </c>
      <c r="AR20" s="1" t="s">
        <v>72</v>
      </c>
      <c r="AS20">
        <v>6</v>
      </c>
      <c r="AT20" t="s">
        <v>72</v>
      </c>
      <c r="AU20">
        <v>1</v>
      </c>
      <c r="AV20">
        <v>1</v>
      </c>
      <c r="AW20" s="1">
        <v>65</v>
      </c>
      <c r="AX20" s="1">
        <v>12</v>
      </c>
      <c r="AY20" s="1" t="s">
        <v>72</v>
      </c>
      <c r="AZ20" s="1" t="s">
        <v>73</v>
      </c>
      <c r="BA20" s="126" t="s">
        <v>73</v>
      </c>
      <c r="BB20" s="1">
        <v>1973</v>
      </c>
      <c r="BC20" s="100">
        <v>45656.482511574075</v>
      </c>
      <c r="BD20" s="85">
        <v>45656.440844907411</v>
      </c>
      <c r="BE20" s="1" t="s">
        <v>73</v>
      </c>
      <c r="BF20" s="1" t="s">
        <v>73</v>
      </c>
      <c r="BG20" s="1" t="s">
        <v>73</v>
      </c>
      <c r="BH20" s="1" t="s">
        <v>73</v>
      </c>
      <c r="BI20" s="1" t="s">
        <v>73</v>
      </c>
      <c r="BJ20" s="1" t="s">
        <v>73</v>
      </c>
      <c r="BK20" s="1"/>
      <c r="BL20" s="1" t="s">
        <v>73</v>
      </c>
      <c r="BM20" s="1" t="s">
        <v>73</v>
      </c>
      <c r="BN20" s="1" t="s">
        <v>73</v>
      </c>
      <c r="BO20" s="1" t="s">
        <v>73</v>
      </c>
      <c r="BP20" s="1" t="s">
        <v>73</v>
      </c>
      <c r="BQ20" s="1" t="s">
        <v>73</v>
      </c>
      <c r="BR20" s="1"/>
      <c r="BS20" s="1" t="s">
        <v>73</v>
      </c>
      <c r="BT20" s="1" t="s">
        <v>73</v>
      </c>
      <c r="BU20" s="1" t="s">
        <v>73</v>
      </c>
      <c r="BV20" s="1" t="s">
        <v>73</v>
      </c>
      <c r="BW20" s="1"/>
      <c r="CB20"/>
      <c r="CC20"/>
    </row>
    <row r="21" spans="1:81" ht="16" x14ac:dyDescent="0.2">
      <c r="A21" t="s">
        <v>134</v>
      </c>
      <c r="B21" t="s">
        <v>316</v>
      </c>
      <c r="C21" t="s">
        <v>317</v>
      </c>
      <c r="D21" s="1" t="s">
        <v>73</v>
      </c>
      <c r="E21" s="1" t="s">
        <v>72</v>
      </c>
      <c r="F21" s="1" t="s">
        <v>73</v>
      </c>
      <c r="G21" s="1" t="s">
        <v>73</v>
      </c>
      <c r="H21" s="1"/>
      <c r="I21" s="1"/>
      <c r="L21">
        <v>3</v>
      </c>
      <c r="N21" s="1"/>
      <c r="O21" s="1"/>
      <c r="P21" s="1"/>
      <c r="Q21" s="1" t="s">
        <v>73</v>
      </c>
      <c r="R21" s="1" t="s">
        <v>73</v>
      </c>
      <c r="S21" s="1" t="s">
        <v>73</v>
      </c>
      <c r="T21" s="79"/>
      <c r="U21" s="79"/>
      <c r="V21" s="1"/>
      <c r="W21" s="1"/>
      <c r="X21" s="1"/>
      <c r="Y21" s="1"/>
      <c r="Z21" s="1" t="s">
        <v>73</v>
      </c>
      <c r="AA21" s="1" t="s">
        <v>73</v>
      </c>
      <c r="AC21" s="1"/>
      <c r="AE21" s="1"/>
      <c r="AF21" s="1"/>
      <c r="AK21" s="1" t="s">
        <v>73</v>
      </c>
      <c r="AL21" s="1" t="s">
        <v>72</v>
      </c>
      <c r="AM21">
        <v>5</v>
      </c>
      <c r="AN21" s="1" t="s">
        <v>72</v>
      </c>
      <c r="AO21">
        <v>5</v>
      </c>
      <c r="AP21" s="1" t="s">
        <v>73</v>
      </c>
      <c r="AR21" s="1" t="s">
        <v>72</v>
      </c>
      <c r="AS21">
        <v>5</v>
      </c>
      <c r="AT21" t="s">
        <v>73</v>
      </c>
      <c r="AW21" s="1">
        <v>44</v>
      </c>
      <c r="AX21" s="1">
        <v>5</v>
      </c>
      <c r="AY21" s="1" t="s">
        <v>73</v>
      </c>
      <c r="AZ21" s="1" t="s">
        <v>73</v>
      </c>
      <c r="BA21" s="126" t="s">
        <v>73</v>
      </c>
      <c r="BB21" s="1">
        <v>1958</v>
      </c>
      <c r="BC21" s="100">
        <v>45653.897569444445</v>
      </c>
      <c r="BD21" s="85">
        <v>45653.855902777781</v>
      </c>
      <c r="BE21" s="1" t="s">
        <v>73</v>
      </c>
      <c r="BF21" s="1" t="s">
        <v>73</v>
      </c>
      <c r="BG21" s="1" t="s">
        <v>73</v>
      </c>
      <c r="BH21" s="1" t="s">
        <v>73</v>
      </c>
      <c r="BI21" s="1" t="s">
        <v>73</v>
      </c>
      <c r="BJ21" s="1" t="s">
        <v>73</v>
      </c>
      <c r="BK21" s="1"/>
      <c r="BL21" s="1" t="s">
        <v>73</v>
      </c>
      <c r="BM21" s="1" t="s">
        <v>73</v>
      </c>
      <c r="BN21" s="1" t="s">
        <v>73</v>
      </c>
      <c r="BO21" s="1" t="s">
        <v>73</v>
      </c>
      <c r="BP21" s="1" t="s">
        <v>73</v>
      </c>
      <c r="BQ21" s="1" t="s">
        <v>73</v>
      </c>
      <c r="BR21" s="1"/>
      <c r="BS21" s="1" t="s">
        <v>73</v>
      </c>
      <c r="BT21" s="1" t="s">
        <v>73</v>
      </c>
      <c r="BU21" s="1" t="s">
        <v>73</v>
      </c>
      <c r="BV21" s="1" t="s">
        <v>73</v>
      </c>
      <c r="BW21" s="1"/>
      <c r="CB21"/>
      <c r="CC21"/>
    </row>
    <row r="22" spans="1:81" ht="16" x14ac:dyDescent="0.2">
      <c r="A22" t="s">
        <v>134</v>
      </c>
      <c r="B22" t="s">
        <v>318</v>
      </c>
      <c r="C22" t="s">
        <v>319</v>
      </c>
      <c r="D22" s="1" t="s">
        <v>73</v>
      </c>
      <c r="E22" s="1" t="s">
        <v>72</v>
      </c>
      <c r="F22" s="1" t="s">
        <v>72</v>
      </c>
      <c r="G22" s="1" t="s">
        <v>73</v>
      </c>
      <c r="H22" s="1"/>
      <c r="I22" s="1">
        <v>14</v>
      </c>
      <c r="J22">
        <v>8</v>
      </c>
      <c r="L22">
        <v>4</v>
      </c>
      <c r="N22" s="1">
        <v>13</v>
      </c>
      <c r="O22" s="1">
        <v>6</v>
      </c>
      <c r="P22" s="1"/>
      <c r="Q22" s="1" t="s">
        <v>73</v>
      </c>
      <c r="R22" s="1" t="s">
        <v>73</v>
      </c>
      <c r="S22" s="1" t="s">
        <v>73</v>
      </c>
      <c r="T22" s="79">
        <v>1</v>
      </c>
      <c r="U22" s="79">
        <v>2</v>
      </c>
      <c r="V22" s="1">
        <v>1</v>
      </c>
      <c r="W22" s="1">
        <v>1</v>
      </c>
      <c r="X22" s="1">
        <v>2</v>
      </c>
      <c r="Y22" s="1">
        <v>1</v>
      </c>
      <c r="Z22" s="1" t="s">
        <v>73</v>
      </c>
      <c r="AA22" s="1" t="s">
        <v>73</v>
      </c>
      <c r="AC22" s="1">
        <v>3</v>
      </c>
      <c r="AE22" s="1"/>
      <c r="AF22" s="1"/>
      <c r="AG22">
        <v>3</v>
      </c>
      <c r="AK22" s="1" t="s">
        <v>72</v>
      </c>
      <c r="AL22" s="1" t="s">
        <v>72</v>
      </c>
      <c r="AM22">
        <v>6</v>
      </c>
      <c r="AN22" s="1" t="s">
        <v>72</v>
      </c>
      <c r="AO22">
        <v>6</v>
      </c>
      <c r="AP22" s="1" t="s">
        <v>73</v>
      </c>
      <c r="AR22" s="1" t="s">
        <v>73</v>
      </c>
      <c r="AT22" t="s">
        <v>72</v>
      </c>
      <c r="AU22">
        <v>2</v>
      </c>
      <c r="AW22" s="1">
        <v>125</v>
      </c>
      <c r="AX22" s="1">
        <v>22</v>
      </c>
      <c r="AY22" s="1" t="s">
        <v>72</v>
      </c>
      <c r="AZ22" s="1" t="s">
        <v>72</v>
      </c>
      <c r="BA22" s="126" t="s">
        <v>73</v>
      </c>
      <c r="BB22" s="1">
        <v>1955</v>
      </c>
      <c r="BC22" s="100">
        <v>45653.878842592596</v>
      </c>
      <c r="BD22" s="85">
        <v>45653.837175925924</v>
      </c>
      <c r="BE22" s="1" t="s">
        <v>73</v>
      </c>
      <c r="BF22" s="1" t="s">
        <v>73</v>
      </c>
      <c r="BG22" s="1" t="s">
        <v>73</v>
      </c>
      <c r="BH22" s="1" t="s">
        <v>73</v>
      </c>
      <c r="BI22" s="1" t="s">
        <v>73</v>
      </c>
      <c r="BJ22" s="1" t="s">
        <v>73</v>
      </c>
      <c r="BK22" s="1"/>
      <c r="BL22" s="1" t="s">
        <v>73</v>
      </c>
      <c r="BM22" s="1" t="s">
        <v>73</v>
      </c>
      <c r="BN22" s="1" t="s">
        <v>73</v>
      </c>
      <c r="BO22" s="1" t="s">
        <v>73</v>
      </c>
      <c r="BP22" s="1" t="s">
        <v>73</v>
      </c>
      <c r="BQ22" s="1" t="s">
        <v>73</v>
      </c>
      <c r="BR22" s="1"/>
      <c r="BS22" s="1" t="s">
        <v>73</v>
      </c>
      <c r="BT22" s="1" t="s">
        <v>73</v>
      </c>
      <c r="BU22" s="1" t="s">
        <v>73</v>
      </c>
      <c r="BV22" s="1" t="s">
        <v>73</v>
      </c>
      <c r="BW22" s="1"/>
      <c r="CB22"/>
      <c r="CC22"/>
    </row>
    <row r="23" spans="1:81" ht="16" x14ac:dyDescent="0.2">
      <c r="A23" t="s">
        <v>134</v>
      </c>
      <c r="B23" t="s">
        <v>314</v>
      </c>
      <c r="C23" t="s">
        <v>315</v>
      </c>
      <c r="D23" s="1" t="s">
        <v>73</v>
      </c>
      <c r="E23" s="1" t="s">
        <v>72</v>
      </c>
      <c r="F23" s="1" t="s">
        <v>72</v>
      </c>
      <c r="G23" s="1" t="s">
        <v>73</v>
      </c>
      <c r="H23" s="1"/>
      <c r="I23" s="1">
        <v>10</v>
      </c>
      <c r="J23">
        <v>6</v>
      </c>
      <c r="L23">
        <v>6</v>
      </c>
      <c r="M23">
        <v>6</v>
      </c>
      <c r="N23" s="1"/>
      <c r="O23" s="1"/>
      <c r="P23" s="1"/>
      <c r="Q23" s="1" t="s">
        <v>73</v>
      </c>
      <c r="R23" s="1" t="s">
        <v>73</v>
      </c>
      <c r="S23" s="1" t="s">
        <v>73</v>
      </c>
      <c r="T23" s="79"/>
      <c r="U23" s="79"/>
      <c r="V23" s="1"/>
      <c r="W23" s="1"/>
      <c r="X23" s="1"/>
      <c r="Y23" s="1"/>
      <c r="Z23" s="1" t="s">
        <v>73</v>
      </c>
      <c r="AA23" s="1" t="s">
        <v>73</v>
      </c>
      <c r="AC23" s="1">
        <v>4</v>
      </c>
      <c r="AE23" s="1"/>
      <c r="AF23" s="1"/>
      <c r="AG23">
        <v>4</v>
      </c>
      <c r="AK23" s="1" t="s">
        <v>73</v>
      </c>
      <c r="AL23" s="1" t="s">
        <v>73</v>
      </c>
      <c r="AN23" s="1" t="s">
        <v>73</v>
      </c>
      <c r="AP23" s="1" t="s">
        <v>73</v>
      </c>
      <c r="AR23" s="1" t="s">
        <v>73</v>
      </c>
      <c r="AT23" t="s">
        <v>73</v>
      </c>
      <c r="AW23" s="1">
        <v>130</v>
      </c>
      <c r="AX23" s="1">
        <v>20</v>
      </c>
      <c r="AY23" s="1" t="s">
        <v>73</v>
      </c>
      <c r="AZ23" s="1" t="s">
        <v>73</v>
      </c>
      <c r="BA23" s="126" t="s">
        <v>73</v>
      </c>
      <c r="BB23" s="1">
        <v>1951</v>
      </c>
      <c r="BC23" s="100">
        <v>45653.861597222225</v>
      </c>
      <c r="BD23" s="85">
        <v>45653.819930555554</v>
      </c>
      <c r="BE23" s="1" t="s">
        <v>73</v>
      </c>
      <c r="BF23" s="1" t="s">
        <v>73</v>
      </c>
      <c r="BG23" s="1" t="s">
        <v>73</v>
      </c>
      <c r="BH23" s="1" t="s">
        <v>73</v>
      </c>
      <c r="BI23" s="1" t="s">
        <v>73</v>
      </c>
      <c r="BJ23" s="1" t="s">
        <v>73</v>
      </c>
      <c r="BK23" s="1"/>
      <c r="BL23" s="1" t="s">
        <v>73</v>
      </c>
      <c r="BM23" s="1" t="s">
        <v>73</v>
      </c>
      <c r="BN23" s="1" t="s">
        <v>73</v>
      </c>
      <c r="BO23" s="1" t="s">
        <v>73</v>
      </c>
      <c r="BP23" s="1" t="s">
        <v>73</v>
      </c>
      <c r="BQ23" s="1" t="s">
        <v>73</v>
      </c>
      <c r="BR23" s="1"/>
      <c r="BS23" s="1" t="s">
        <v>73</v>
      </c>
      <c r="BT23" s="1" t="s">
        <v>73</v>
      </c>
      <c r="BU23" s="1" t="s">
        <v>73</v>
      </c>
      <c r="BV23" s="1" t="s">
        <v>73</v>
      </c>
      <c r="BW23" s="1"/>
      <c r="CB23"/>
      <c r="CC23"/>
    </row>
    <row r="24" spans="1:81" ht="16" x14ac:dyDescent="0.2">
      <c r="A24" t="s">
        <v>134</v>
      </c>
      <c r="B24" t="s">
        <v>309</v>
      </c>
      <c r="C24" t="s">
        <v>310</v>
      </c>
      <c r="D24" s="1" t="s">
        <v>73</v>
      </c>
      <c r="E24" s="1" t="s">
        <v>72</v>
      </c>
      <c r="F24" s="1" t="s">
        <v>72</v>
      </c>
      <c r="G24" s="1" t="s">
        <v>73</v>
      </c>
      <c r="H24" s="1"/>
      <c r="I24" s="1">
        <v>14</v>
      </c>
      <c r="J24">
        <v>3</v>
      </c>
      <c r="N24" s="1">
        <v>14</v>
      </c>
      <c r="O24" s="1">
        <v>3</v>
      </c>
      <c r="P24" s="1"/>
      <c r="Q24" s="1" t="s">
        <v>73</v>
      </c>
      <c r="R24" s="1" t="s">
        <v>73</v>
      </c>
      <c r="S24" s="1" t="s">
        <v>73</v>
      </c>
      <c r="T24" s="79">
        <v>3</v>
      </c>
      <c r="U24" s="79">
        <v>2</v>
      </c>
      <c r="V24" s="1">
        <v>1</v>
      </c>
      <c r="W24" s="1">
        <v>2</v>
      </c>
      <c r="X24" s="1">
        <v>2</v>
      </c>
      <c r="Y24" s="1">
        <v>1</v>
      </c>
      <c r="Z24" s="1" t="s">
        <v>73</v>
      </c>
      <c r="AA24" s="1" t="s">
        <v>73</v>
      </c>
      <c r="AC24" s="1">
        <v>2</v>
      </c>
      <c r="AD24">
        <v>1</v>
      </c>
      <c r="AE24" s="1">
        <v>1</v>
      </c>
      <c r="AF24" s="1"/>
      <c r="AG24">
        <v>2</v>
      </c>
      <c r="AH24">
        <v>1</v>
      </c>
      <c r="AI24">
        <v>1</v>
      </c>
      <c r="AK24" s="1" t="s">
        <v>73</v>
      </c>
      <c r="AL24" s="1" t="s">
        <v>72</v>
      </c>
      <c r="AM24">
        <v>4</v>
      </c>
      <c r="AN24" s="1" t="s">
        <v>72</v>
      </c>
      <c r="AO24">
        <v>4</v>
      </c>
      <c r="AP24" s="1" t="s">
        <v>73</v>
      </c>
      <c r="AR24" s="1" t="s">
        <v>72</v>
      </c>
      <c r="AS24">
        <v>4</v>
      </c>
      <c r="AT24" t="s">
        <v>72</v>
      </c>
      <c r="AU24">
        <v>2</v>
      </c>
      <c r="AW24" s="1">
        <v>50</v>
      </c>
      <c r="AX24" s="1">
        <v>5</v>
      </c>
      <c r="AY24" s="1" t="s">
        <v>72</v>
      </c>
      <c r="AZ24" s="1" t="s">
        <v>73</v>
      </c>
      <c r="BA24" s="126" t="s">
        <v>73</v>
      </c>
      <c r="BB24" s="1">
        <v>1946</v>
      </c>
      <c r="BC24" s="100">
        <v>45653.780787037038</v>
      </c>
      <c r="BD24" s="85">
        <v>45653.739120370374</v>
      </c>
      <c r="BE24" s="1" t="s">
        <v>73</v>
      </c>
      <c r="BF24" s="1" t="s">
        <v>73</v>
      </c>
      <c r="BG24" s="1" t="s">
        <v>73</v>
      </c>
      <c r="BH24" s="1" t="s">
        <v>73</v>
      </c>
      <c r="BI24" s="1" t="s">
        <v>73</v>
      </c>
      <c r="BJ24" s="1" t="s">
        <v>73</v>
      </c>
      <c r="BK24" s="1"/>
      <c r="BL24" s="1" t="s">
        <v>73</v>
      </c>
      <c r="BM24" s="1" t="s">
        <v>73</v>
      </c>
      <c r="BN24" s="1" t="s">
        <v>73</v>
      </c>
      <c r="BO24" s="1" t="s">
        <v>73</v>
      </c>
      <c r="BP24" s="1" t="s">
        <v>73</v>
      </c>
      <c r="BQ24" s="1" t="s">
        <v>73</v>
      </c>
      <c r="BR24" s="1"/>
      <c r="BS24" s="1" t="s">
        <v>73</v>
      </c>
      <c r="BT24" s="1" t="s">
        <v>73</v>
      </c>
      <c r="BU24" s="1" t="s">
        <v>73</v>
      </c>
      <c r="BV24" s="1" t="s">
        <v>73</v>
      </c>
      <c r="BW24" s="1"/>
      <c r="CB24"/>
      <c r="CC24"/>
    </row>
    <row r="25" spans="1:81" ht="16" x14ac:dyDescent="0.2">
      <c r="A25" t="s">
        <v>134</v>
      </c>
      <c r="B25" t="s">
        <v>311</v>
      </c>
      <c r="C25" t="s">
        <v>312</v>
      </c>
      <c r="D25" s="1" t="s">
        <v>73</v>
      </c>
      <c r="E25" s="1" t="s">
        <v>72</v>
      </c>
      <c r="F25" s="1" t="s">
        <v>73</v>
      </c>
      <c r="G25" s="1" t="s">
        <v>73</v>
      </c>
      <c r="H25" s="1"/>
      <c r="I25" s="1"/>
      <c r="J25">
        <v>6</v>
      </c>
      <c r="L25">
        <v>10</v>
      </c>
      <c r="M25">
        <v>3</v>
      </c>
      <c r="N25" s="1"/>
      <c r="O25" s="1"/>
      <c r="P25" s="1"/>
      <c r="Q25" s="1" t="s">
        <v>73</v>
      </c>
      <c r="R25" s="1" t="s">
        <v>73</v>
      </c>
      <c r="S25" s="1" t="s">
        <v>73</v>
      </c>
      <c r="T25" s="79"/>
      <c r="U25" s="79"/>
      <c r="V25" s="1"/>
      <c r="W25" s="1"/>
      <c r="X25" s="1"/>
      <c r="Y25" s="1"/>
      <c r="Z25" s="1" t="s">
        <v>73</v>
      </c>
      <c r="AA25" s="1" t="s">
        <v>73</v>
      </c>
      <c r="AC25" s="1"/>
      <c r="AE25" s="1"/>
      <c r="AF25" s="1"/>
      <c r="AK25" s="1" t="s">
        <v>73</v>
      </c>
      <c r="AL25" s="1" t="s">
        <v>73</v>
      </c>
      <c r="AN25" s="1" t="s">
        <v>73</v>
      </c>
      <c r="AP25" s="1" t="s">
        <v>73</v>
      </c>
      <c r="AR25" s="1" t="s">
        <v>73</v>
      </c>
      <c r="AT25" t="s">
        <v>72</v>
      </c>
      <c r="AU25">
        <v>2</v>
      </c>
      <c r="AW25" s="1">
        <v>75</v>
      </c>
      <c r="AX25" s="1">
        <v>13</v>
      </c>
      <c r="AY25" s="1" t="s">
        <v>73</v>
      </c>
      <c r="AZ25" s="1" t="s">
        <v>72</v>
      </c>
      <c r="BA25" s="126" t="s">
        <v>73</v>
      </c>
      <c r="BB25" s="1">
        <v>1939</v>
      </c>
      <c r="BC25" s="100">
        <v>45653.433240740742</v>
      </c>
      <c r="BD25" s="85">
        <v>45653.391574074078</v>
      </c>
      <c r="BE25" s="1" t="s">
        <v>73</v>
      </c>
      <c r="BF25" s="1" t="s">
        <v>73</v>
      </c>
      <c r="BG25" s="1" t="s">
        <v>73</v>
      </c>
      <c r="BH25" s="1" t="s">
        <v>73</v>
      </c>
      <c r="BI25" s="1" t="s">
        <v>73</v>
      </c>
      <c r="BJ25" s="1" t="s">
        <v>73</v>
      </c>
      <c r="BK25" s="1"/>
      <c r="BL25" s="1" t="s">
        <v>73</v>
      </c>
      <c r="BM25" s="1" t="s">
        <v>73</v>
      </c>
      <c r="BN25" s="1" t="s">
        <v>73</v>
      </c>
      <c r="BO25" s="1" t="s">
        <v>73</v>
      </c>
      <c r="BP25" s="1" t="s">
        <v>73</v>
      </c>
      <c r="BQ25" s="1" t="s">
        <v>73</v>
      </c>
      <c r="BR25" s="1"/>
      <c r="BS25" s="1" t="s">
        <v>73</v>
      </c>
      <c r="BT25" s="1" t="s">
        <v>73</v>
      </c>
      <c r="BU25" s="1" t="s">
        <v>73</v>
      </c>
      <c r="BV25" s="1" t="s">
        <v>73</v>
      </c>
      <c r="BW25" s="1"/>
      <c r="CB25"/>
      <c r="CC25"/>
    </row>
    <row r="26" spans="1:81" ht="16" x14ac:dyDescent="0.2">
      <c r="A26" t="s">
        <v>134</v>
      </c>
      <c r="B26" t="s">
        <v>292</v>
      </c>
      <c r="C26" t="s">
        <v>293</v>
      </c>
      <c r="D26" s="1" t="s">
        <v>73</v>
      </c>
      <c r="E26" s="1" t="s">
        <v>72</v>
      </c>
      <c r="F26" s="1" t="s">
        <v>72</v>
      </c>
      <c r="G26" s="1" t="s">
        <v>73</v>
      </c>
      <c r="H26" s="1"/>
      <c r="I26" s="1">
        <v>14</v>
      </c>
      <c r="L26">
        <v>4</v>
      </c>
      <c r="N26" s="1"/>
      <c r="O26" s="1"/>
      <c r="P26" s="1"/>
      <c r="Q26" s="1" t="s">
        <v>73</v>
      </c>
      <c r="R26" s="1" t="s">
        <v>73</v>
      </c>
      <c r="S26" s="1" t="s">
        <v>73</v>
      </c>
      <c r="T26" s="79"/>
      <c r="U26" s="79"/>
      <c r="V26" s="1"/>
      <c r="W26" s="1"/>
      <c r="X26" s="1"/>
      <c r="Y26" s="1"/>
      <c r="Z26" s="1" t="s">
        <v>73</v>
      </c>
      <c r="AA26" s="1" t="s">
        <v>73</v>
      </c>
      <c r="AC26" s="1">
        <v>4</v>
      </c>
      <c r="AE26" s="1"/>
      <c r="AF26" s="1"/>
      <c r="AG26">
        <v>4</v>
      </c>
      <c r="AK26" s="1" t="s">
        <v>73</v>
      </c>
      <c r="AL26" s="1" t="s">
        <v>72</v>
      </c>
      <c r="AM26">
        <v>6</v>
      </c>
      <c r="AN26" s="1" t="s">
        <v>72</v>
      </c>
      <c r="AO26">
        <v>6</v>
      </c>
      <c r="AP26" s="1" t="s">
        <v>73</v>
      </c>
      <c r="AR26" s="1" t="s">
        <v>72</v>
      </c>
      <c r="AS26">
        <v>6</v>
      </c>
      <c r="AT26" t="s">
        <v>72</v>
      </c>
      <c r="AU26">
        <v>2</v>
      </c>
      <c r="AW26" s="1">
        <v>65</v>
      </c>
      <c r="AX26" s="1">
        <v>15</v>
      </c>
      <c r="AY26" s="1" t="s">
        <v>72</v>
      </c>
      <c r="AZ26" s="1" t="s">
        <v>73</v>
      </c>
      <c r="BA26" s="126" t="s">
        <v>73</v>
      </c>
      <c r="BB26" s="1">
        <v>1935</v>
      </c>
      <c r="BC26" s="100">
        <v>45653.008796296293</v>
      </c>
      <c r="BD26" s="85">
        <v>45652.967129629629</v>
      </c>
      <c r="BE26" s="1" t="s">
        <v>73</v>
      </c>
      <c r="BF26" s="1" t="s">
        <v>73</v>
      </c>
      <c r="BG26" s="1" t="s">
        <v>73</v>
      </c>
      <c r="BH26" s="1" t="s">
        <v>73</v>
      </c>
      <c r="BI26" s="1" t="s">
        <v>73</v>
      </c>
      <c r="BJ26" s="1" t="s">
        <v>73</v>
      </c>
      <c r="BK26" s="1"/>
      <c r="BL26" s="1" t="s">
        <v>73</v>
      </c>
      <c r="BM26" s="1" t="s">
        <v>73</v>
      </c>
      <c r="BN26" s="1" t="s">
        <v>73</v>
      </c>
      <c r="BO26" s="1" t="s">
        <v>73</v>
      </c>
      <c r="BP26" s="1" t="s">
        <v>73</v>
      </c>
      <c r="BQ26" s="1" t="s">
        <v>73</v>
      </c>
      <c r="BR26" s="1"/>
      <c r="BS26" s="1" t="s">
        <v>73</v>
      </c>
      <c r="BT26" s="1" t="s">
        <v>73</v>
      </c>
      <c r="BU26" s="1" t="s">
        <v>73</v>
      </c>
      <c r="BV26" s="1" t="s">
        <v>73</v>
      </c>
      <c r="BW26" s="1"/>
      <c r="CB26"/>
      <c r="CC26"/>
    </row>
    <row r="27" spans="1:81" ht="16" x14ac:dyDescent="0.2">
      <c r="A27" t="s">
        <v>134</v>
      </c>
      <c r="B27" t="s">
        <v>288</v>
      </c>
      <c r="C27" t="s">
        <v>289</v>
      </c>
      <c r="D27" s="1" t="s">
        <v>72</v>
      </c>
      <c r="E27" s="1" t="s">
        <v>73</v>
      </c>
      <c r="F27" s="1" t="s">
        <v>73</v>
      </c>
      <c r="G27" s="1" t="s">
        <v>73</v>
      </c>
      <c r="H27" s="1"/>
      <c r="I27" s="1"/>
      <c r="N27" s="1"/>
      <c r="O27" s="1"/>
      <c r="P27" s="1"/>
      <c r="Q27" s="1" t="s">
        <v>73</v>
      </c>
      <c r="R27" s="1" t="s">
        <v>73</v>
      </c>
      <c r="S27" s="1" t="s">
        <v>73</v>
      </c>
      <c r="T27" s="79"/>
      <c r="U27" s="79"/>
      <c r="V27" s="1"/>
      <c r="W27" s="1"/>
      <c r="X27" s="1"/>
      <c r="Y27" s="1"/>
      <c r="Z27" s="1" t="s">
        <v>73</v>
      </c>
      <c r="AA27" s="1" t="s">
        <v>73</v>
      </c>
      <c r="AC27" s="1"/>
      <c r="AE27" s="1"/>
      <c r="AF27" s="1"/>
      <c r="AK27" s="1" t="s">
        <v>73</v>
      </c>
      <c r="AL27" s="1" t="s">
        <v>73</v>
      </c>
      <c r="AN27" s="1" t="s">
        <v>73</v>
      </c>
      <c r="AP27" s="1" t="s">
        <v>73</v>
      </c>
      <c r="AR27" s="1" t="s">
        <v>73</v>
      </c>
      <c r="AT27" t="s">
        <v>73</v>
      </c>
      <c r="AW27" s="1">
        <v>10</v>
      </c>
      <c r="AX27" s="1">
        <v>0</v>
      </c>
      <c r="AY27" s="1" t="s">
        <v>73</v>
      </c>
      <c r="AZ27" s="1" t="s">
        <v>73</v>
      </c>
      <c r="BA27" s="126" t="s">
        <v>73</v>
      </c>
      <c r="BB27" s="1">
        <v>1929</v>
      </c>
      <c r="BC27" s="100">
        <v>45652.550474537034</v>
      </c>
      <c r="BD27" s="85">
        <v>45652.50880787037</v>
      </c>
      <c r="BE27" s="1" t="s">
        <v>73</v>
      </c>
      <c r="BF27" s="1" t="s">
        <v>73</v>
      </c>
      <c r="BG27" s="1" t="s">
        <v>73</v>
      </c>
      <c r="BH27" s="1" t="s">
        <v>73</v>
      </c>
      <c r="BI27" s="1" t="s">
        <v>73</v>
      </c>
      <c r="BJ27" s="1" t="s">
        <v>73</v>
      </c>
      <c r="BK27" s="1"/>
      <c r="BL27" s="1" t="s">
        <v>73</v>
      </c>
      <c r="BM27" s="1" t="s">
        <v>73</v>
      </c>
      <c r="BN27" s="1" t="s">
        <v>73</v>
      </c>
      <c r="BO27" s="1" t="s">
        <v>73</v>
      </c>
      <c r="BP27" s="1" t="s">
        <v>73</v>
      </c>
      <c r="BQ27" s="1" t="s">
        <v>73</v>
      </c>
      <c r="BR27" s="1"/>
      <c r="BS27" s="1" t="s">
        <v>73</v>
      </c>
      <c r="BT27" s="1" t="s">
        <v>73</v>
      </c>
      <c r="BU27" s="1" t="s">
        <v>73</v>
      </c>
      <c r="BV27" s="1" t="s">
        <v>73</v>
      </c>
      <c r="BW27" s="1"/>
      <c r="CB27"/>
      <c r="CC27"/>
    </row>
    <row r="28" spans="1:81" ht="16" x14ac:dyDescent="0.2">
      <c r="A28" t="s">
        <v>134</v>
      </c>
      <c r="B28" t="s">
        <v>283</v>
      </c>
      <c r="C28" t="s">
        <v>284</v>
      </c>
      <c r="D28" s="1" t="s">
        <v>73</v>
      </c>
      <c r="E28" s="1" t="s">
        <v>72</v>
      </c>
      <c r="F28" s="1" t="s">
        <v>73</v>
      </c>
      <c r="G28" s="1" t="s">
        <v>73</v>
      </c>
      <c r="H28" s="1"/>
      <c r="I28" s="1">
        <v>4</v>
      </c>
      <c r="N28" s="1"/>
      <c r="O28" s="1"/>
      <c r="P28" s="1"/>
      <c r="Q28" s="1" t="s">
        <v>73</v>
      </c>
      <c r="R28" s="1" t="s">
        <v>73</v>
      </c>
      <c r="S28" s="1" t="s">
        <v>73</v>
      </c>
      <c r="T28" s="79"/>
      <c r="U28" s="79"/>
      <c r="V28" s="1"/>
      <c r="W28" s="1"/>
      <c r="X28" s="1"/>
      <c r="Y28" s="1"/>
      <c r="Z28" s="1" t="s">
        <v>73</v>
      </c>
      <c r="AA28" s="1" t="s">
        <v>73</v>
      </c>
      <c r="AC28" s="1"/>
      <c r="AE28" s="1"/>
      <c r="AF28" s="1"/>
      <c r="AK28" s="1" t="s">
        <v>73</v>
      </c>
      <c r="AL28" s="1" t="s">
        <v>72</v>
      </c>
      <c r="AM28">
        <v>6</v>
      </c>
      <c r="AN28" s="1" t="s">
        <v>72</v>
      </c>
      <c r="AO28">
        <v>6</v>
      </c>
      <c r="AP28" s="1" t="s">
        <v>73</v>
      </c>
      <c r="AR28" s="1" t="s">
        <v>72</v>
      </c>
      <c r="AS28">
        <v>6</v>
      </c>
      <c r="AT28" t="s">
        <v>73</v>
      </c>
      <c r="AW28" s="1">
        <v>42</v>
      </c>
      <c r="AX28" s="1">
        <v>5</v>
      </c>
      <c r="AY28" s="1" t="s">
        <v>73</v>
      </c>
      <c r="AZ28" s="1" t="s">
        <v>73</v>
      </c>
      <c r="BA28" s="126" t="s">
        <v>73</v>
      </c>
      <c r="BB28" s="1">
        <v>1918</v>
      </c>
      <c r="BC28" s="100">
        <v>45650.73678240741</v>
      </c>
      <c r="BD28" s="85">
        <v>45650.695115740738</v>
      </c>
      <c r="BE28" s="1" t="s">
        <v>73</v>
      </c>
      <c r="BF28" s="1" t="s">
        <v>73</v>
      </c>
      <c r="BG28" s="1" t="s">
        <v>73</v>
      </c>
      <c r="BH28" s="1" t="s">
        <v>73</v>
      </c>
      <c r="BI28" s="1" t="s">
        <v>73</v>
      </c>
      <c r="BJ28" s="1" t="s">
        <v>73</v>
      </c>
      <c r="BK28" s="1"/>
      <c r="BL28" s="1" t="s">
        <v>73</v>
      </c>
      <c r="BM28" s="1" t="s">
        <v>73</v>
      </c>
      <c r="BN28" s="1" t="s">
        <v>73</v>
      </c>
      <c r="BO28" s="1" t="s">
        <v>73</v>
      </c>
      <c r="BP28" s="1" t="s">
        <v>73</v>
      </c>
      <c r="BQ28" s="1" t="s">
        <v>73</v>
      </c>
      <c r="BR28" s="1"/>
      <c r="BS28" s="1" t="s">
        <v>73</v>
      </c>
      <c r="BT28" s="1" t="s">
        <v>73</v>
      </c>
      <c r="BU28" s="1" t="s">
        <v>73</v>
      </c>
      <c r="BV28" s="1" t="s">
        <v>73</v>
      </c>
      <c r="BW28" s="1"/>
      <c r="CB28"/>
      <c r="CC28"/>
    </row>
    <row r="29" spans="1:81" ht="16" x14ac:dyDescent="0.2">
      <c r="A29" t="s">
        <v>134</v>
      </c>
      <c r="B29" t="s">
        <v>269</v>
      </c>
      <c r="C29" t="s">
        <v>270</v>
      </c>
      <c r="D29" s="1" t="s">
        <v>73</v>
      </c>
      <c r="E29" s="1" t="s">
        <v>72</v>
      </c>
      <c r="F29" s="1" t="s">
        <v>73</v>
      </c>
      <c r="G29" s="1" t="s">
        <v>73</v>
      </c>
      <c r="H29" s="1"/>
      <c r="I29" s="1"/>
      <c r="J29">
        <v>5</v>
      </c>
      <c r="N29" s="1"/>
      <c r="O29" s="1"/>
      <c r="P29" s="1"/>
      <c r="Q29" s="1" t="s">
        <v>73</v>
      </c>
      <c r="R29" s="1" t="s">
        <v>73</v>
      </c>
      <c r="S29" s="1" t="s">
        <v>73</v>
      </c>
      <c r="T29" s="79"/>
      <c r="U29" s="79"/>
      <c r="V29" s="1"/>
      <c r="W29" s="1"/>
      <c r="X29" s="1"/>
      <c r="Y29" s="1"/>
      <c r="Z29" s="1" t="s">
        <v>73</v>
      </c>
      <c r="AA29" s="1" t="s">
        <v>73</v>
      </c>
      <c r="AC29" s="1">
        <v>5</v>
      </c>
      <c r="AE29" s="1">
        <v>2</v>
      </c>
      <c r="AF29" s="1"/>
      <c r="AG29">
        <v>5</v>
      </c>
      <c r="AI29">
        <v>2</v>
      </c>
      <c r="AK29" s="1" t="s">
        <v>73</v>
      </c>
      <c r="AL29" s="1" t="s">
        <v>72</v>
      </c>
      <c r="AM29">
        <v>4</v>
      </c>
      <c r="AN29" s="1" t="s">
        <v>72</v>
      </c>
      <c r="AO29">
        <v>2</v>
      </c>
      <c r="AP29" s="1" t="s">
        <v>73</v>
      </c>
      <c r="AR29" s="1" t="s">
        <v>72</v>
      </c>
      <c r="AS29">
        <v>4</v>
      </c>
      <c r="AT29" t="s">
        <v>73</v>
      </c>
      <c r="AW29" s="1">
        <v>50</v>
      </c>
      <c r="AX29" s="1">
        <v>10</v>
      </c>
      <c r="AY29" s="1" t="s">
        <v>73</v>
      </c>
      <c r="AZ29" s="1" t="s">
        <v>73</v>
      </c>
      <c r="BA29" s="126" t="s">
        <v>73</v>
      </c>
      <c r="BB29" s="1">
        <v>1907</v>
      </c>
      <c r="BC29" s="100">
        <v>45649.605740740742</v>
      </c>
      <c r="BD29" s="85">
        <v>45649.564074074071</v>
      </c>
      <c r="BE29" s="1" t="s">
        <v>73</v>
      </c>
      <c r="BF29" s="1" t="s">
        <v>73</v>
      </c>
      <c r="BG29" s="1" t="s">
        <v>73</v>
      </c>
      <c r="BH29" s="1" t="s">
        <v>73</v>
      </c>
      <c r="BI29" s="1" t="s">
        <v>73</v>
      </c>
      <c r="BJ29" s="1" t="s">
        <v>73</v>
      </c>
      <c r="BK29" s="1"/>
      <c r="BL29" s="1" t="s">
        <v>73</v>
      </c>
      <c r="BM29" s="1" t="s">
        <v>73</v>
      </c>
      <c r="BN29" s="1" t="s">
        <v>73</v>
      </c>
      <c r="BO29" s="1" t="s">
        <v>73</v>
      </c>
      <c r="BP29" s="1" t="s">
        <v>73</v>
      </c>
      <c r="BQ29" s="1" t="s">
        <v>73</v>
      </c>
      <c r="BR29" s="1"/>
      <c r="BS29" s="1" t="s">
        <v>73</v>
      </c>
      <c r="BT29" s="1" t="s">
        <v>73</v>
      </c>
      <c r="BU29" s="1" t="s">
        <v>73</v>
      </c>
      <c r="BV29" s="1" t="s">
        <v>73</v>
      </c>
      <c r="BW29" s="1"/>
      <c r="CB29"/>
      <c r="CC29"/>
    </row>
    <row r="30" spans="1:81" ht="16" x14ac:dyDescent="0.2">
      <c r="A30" t="s">
        <v>134</v>
      </c>
      <c r="B30" t="s">
        <v>234</v>
      </c>
      <c r="C30" t="s">
        <v>235</v>
      </c>
      <c r="D30" s="1" t="s">
        <v>73</v>
      </c>
      <c r="E30" s="1" t="s">
        <v>72</v>
      </c>
      <c r="F30" s="1" t="s">
        <v>73</v>
      </c>
      <c r="G30" s="1" t="s">
        <v>73</v>
      </c>
      <c r="H30" s="1"/>
      <c r="I30" s="1">
        <v>16</v>
      </c>
      <c r="N30" s="1"/>
      <c r="O30" s="1"/>
      <c r="P30" s="1"/>
      <c r="Q30" s="1" t="s">
        <v>73</v>
      </c>
      <c r="R30" s="1" t="s">
        <v>73</v>
      </c>
      <c r="S30" s="1" t="s">
        <v>73</v>
      </c>
      <c r="T30" s="79"/>
      <c r="U30" s="79"/>
      <c r="V30" s="1"/>
      <c r="W30" s="1"/>
      <c r="X30" s="1"/>
      <c r="Y30" s="1"/>
      <c r="Z30" s="1" t="s">
        <v>73</v>
      </c>
      <c r="AA30" s="1" t="s">
        <v>73</v>
      </c>
      <c r="AC30" s="1">
        <v>5</v>
      </c>
      <c r="AE30" s="1"/>
      <c r="AF30" s="1"/>
      <c r="AG30">
        <v>5</v>
      </c>
      <c r="AK30" s="1" t="s">
        <v>73</v>
      </c>
      <c r="AL30" s="1" t="s">
        <v>72</v>
      </c>
      <c r="AM30">
        <v>5</v>
      </c>
      <c r="AN30" s="1" t="s">
        <v>72</v>
      </c>
      <c r="AO30">
        <v>5</v>
      </c>
      <c r="AP30" s="1" t="s">
        <v>73</v>
      </c>
      <c r="AR30" s="1" t="s">
        <v>72</v>
      </c>
      <c r="AS30">
        <v>5</v>
      </c>
      <c r="AT30" t="s">
        <v>73</v>
      </c>
      <c r="AW30" s="1">
        <v>100</v>
      </c>
      <c r="AX30" s="1">
        <v>8</v>
      </c>
      <c r="AY30" s="1" t="s">
        <v>72</v>
      </c>
      <c r="AZ30" s="1" t="s">
        <v>72</v>
      </c>
      <c r="BA30" s="126" t="s">
        <v>73</v>
      </c>
      <c r="BB30" s="1">
        <v>1876</v>
      </c>
      <c r="BC30" s="100">
        <v>45646.477731481478</v>
      </c>
      <c r="BD30" s="85">
        <v>45646.436064814814</v>
      </c>
      <c r="BE30" s="1" t="s">
        <v>73</v>
      </c>
      <c r="BF30" s="1" t="s">
        <v>73</v>
      </c>
      <c r="BG30" s="1" t="s">
        <v>73</v>
      </c>
      <c r="BH30" s="1" t="s">
        <v>73</v>
      </c>
      <c r="BI30" s="1" t="s">
        <v>73</v>
      </c>
      <c r="BJ30" s="1" t="s">
        <v>73</v>
      </c>
      <c r="BK30" s="1"/>
      <c r="BL30" s="1" t="s">
        <v>73</v>
      </c>
      <c r="BM30" s="1" t="s">
        <v>73</v>
      </c>
      <c r="BN30" s="1" t="s">
        <v>73</v>
      </c>
      <c r="BO30" s="1" t="s">
        <v>73</v>
      </c>
      <c r="BP30" s="1" t="s">
        <v>73</v>
      </c>
      <c r="BQ30" s="1" t="s">
        <v>73</v>
      </c>
      <c r="BR30" s="1"/>
      <c r="BS30" s="1" t="s">
        <v>73</v>
      </c>
      <c r="BT30" s="1" t="s">
        <v>73</v>
      </c>
      <c r="BU30" s="1" t="s">
        <v>73</v>
      </c>
      <c r="BV30" s="1" t="s">
        <v>73</v>
      </c>
      <c r="BW30" s="1"/>
      <c r="CB30"/>
      <c r="CC30"/>
    </row>
    <row r="31" spans="1:81" ht="16" x14ac:dyDescent="0.2">
      <c r="A31" t="s">
        <v>134</v>
      </c>
      <c r="B31" t="s">
        <v>224</v>
      </c>
      <c r="C31" t="s">
        <v>225</v>
      </c>
      <c r="D31" s="1" t="s">
        <v>73</v>
      </c>
      <c r="E31" s="1" t="s">
        <v>72</v>
      </c>
      <c r="F31" s="1" t="s">
        <v>73</v>
      </c>
      <c r="G31" s="1" t="s">
        <v>73</v>
      </c>
      <c r="H31" s="1"/>
      <c r="I31" s="1"/>
      <c r="N31" s="1"/>
      <c r="O31" s="1"/>
      <c r="P31" s="1"/>
      <c r="Q31" s="1" t="s">
        <v>73</v>
      </c>
      <c r="R31" s="1" t="s">
        <v>73</v>
      </c>
      <c r="S31" s="1" t="s">
        <v>73</v>
      </c>
      <c r="T31" s="79"/>
      <c r="U31" s="79"/>
      <c r="V31" s="1"/>
      <c r="W31" s="1"/>
      <c r="X31" s="1"/>
      <c r="Y31" s="1"/>
      <c r="Z31" s="1" t="s">
        <v>73</v>
      </c>
      <c r="AA31" s="1" t="s">
        <v>73</v>
      </c>
      <c r="AC31" s="1"/>
      <c r="AE31" s="1"/>
      <c r="AF31" s="1"/>
      <c r="AK31" s="1" t="s">
        <v>73</v>
      </c>
      <c r="AL31" s="1" t="s">
        <v>73</v>
      </c>
      <c r="AN31" s="1" t="s">
        <v>73</v>
      </c>
      <c r="AP31" s="1" t="s">
        <v>73</v>
      </c>
      <c r="AR31" s="1" t="s">
        <v>73</v>
      </c>
      <c r="AT31" t="s">
        <v>73</v>
      </c>
      <c r="AW31" s="1">
        <v>50</v>
      </c>
      <c r="AX31" s="1">
        <v>6</v>
      </c>
      <c r="AY31" s="1" t="s">
        <v>73</v>
      </c>
      <c r="AZ31" s="1" t="s">
        <v>72</v>
      </c>
      <c r="BA31" s="126" t="s">
        <v>73</v>
      </c>
      <c r="BB31" s="1">
        <v>1863</v>
      </c>
      <c r="BC31" s="100">
        <v>45644.607523148145</v>
      </c>
      <c r="BD31" s="85">
        <v>45644.56585648148</v>
      </c>
      <c r="BE31" s="1" t="s">
        <v>73</v>
      </c>
      <c r="BF31" s="1" t="s">
        <v>73</v>
      </c>
      <c r="BG31" s="1" t="s">
        <v>73</v>
      </c>
      <c r="BH31" s="1" t="s">
        <v>73</v>
      </c>
      <c r="BI31" s="1" t="s">
        <v>73</v>
      </c>
      <c r="BJ31" s="1" t="s">
        <v>73</v>
      </c>
      <c r="BK31" s="1"/>
      <c r="BL31" s="1" t="s">
        <v>73</v>
      </c>
      <c r="BM31" s="1" t="s">
        <v>73</v>
      </c>
      <c r="BN31" s="1" t="s">
        <v>73</v>
      </c>
      <c r="BO31" s="1" t="s">
        <v>73</v>
      </c>
      <c r="BP31" s="1" t="s">
        <v>73</v>
      </c>
      <c r="BQ31" s="1" t="s">
        <v>73</v>
      </c>
      <c r="BR31" s="1"/>
      <c r="BS31" s="1" t="s">
        <v>73</v>
      </c>
      <c r="BT31" s="1" t="s">
        <v>73</v>
      </c>
      <c r="BU31" s="1" t="s">
        <v>73</v>
      </c>
      <c r="BV31" s="1" t="s">
        <v>73</v>
      </c>
      <c r="BW31" s="1"/>
      <c r="CB31"/>
      <c r="CC31"/>
    </row>
    <row r="32" spans="1:81" ht="16" x14ac:dyDescent="0.2">
      <c r="A32" t="s">
        <v>134</v>
      </c>
      <c r="B32" t="s">
        <v>205</v>
      </c>
      <c r="C32" t="s">
        <v>206</v>
      </c>
      <c r="D32" s="1" t="s">
        <v>73</v>
      </c>
      <c r="E32" s="1" t="s">
        <v>72</v>
      </c>
      <c r="F32" s="1" t="s">
        <v>73</v>
      </c>
      <c r="G32" s="1" t="s">
        <v>73</v>
      </c>
      <c r="H32" s="1"/>
      <c r="I32" s="1">
        <v>6</v>
      </c>
      <c r="J32">
        <v>6</v>
      </c>
      <c r="L32">
        <v>4</v>
      </c>
      <c r="N32" s="1"/>
      <c r="O32" s="1"/>
      <c r="P32" s="1"/>
      <c r="Q32" s="1" t="s">
        <v>73</v>
      </c>
      <c r="R32" s="1" t="s">
        <v>73</v>
      </c>
      <c r="S32" s="1" t="s">
        <v>73</v>
      </c>
      <c r="T32" s="79"/>
      <c r="U32" s="79"/>
      <c r="V32" s="1"/>
      <c r="W32" s="1"/>
      <c r="X32" s="1"/>
      <c r="Y32" s="1"/>
      <c r="Z32" s="1" t="s">
        <v>73</v>
      </c>
      <c r="AA32" s="1" t="s">
        <v>73</v>
      </c>
      <c r="AC32" s="1"/>
      <c r="AE32" s="1"/>
      <c r="AF32" s="1"/>
      <c r="AK32" s="1" t="s">
        <v>73</v>
      </c>
      <c r="AL32" s="1" t="s">
        <v>72</v>
      </c>
      <c r="AM32">
        <v>6</v>
      </c>
      <c r="AN32" s="1" t="s">
        <v>72</v>
      </c>
      <c r="AO32">
        <v>6</v>
      </c>
      <c r="AP32" s="1" t="s">
        <v>73</v>
      </c>
      <c r="AR32" s="1" t="s">
        <v>72</v>
      </c>
      <c r="AS32">
        <v>6</v>
      </c>
      <c r="AT32" t="s">
        <v>72</v>
      </c>
      <c r="AU32">
        <v>2</v>
      </c>
      <c r="AW32" s="1">
        <v>100</v>
      </c>
      <c r="AX32" s="1">
        <v>8</v>
      </c>
      <c r="AY32" s="1" t="s">
        <v>72</v>
      </c>
      <c r="AZ32" s="1" t="s">
        <v>72</v>
      </c>
      <c r="BA32" s="126" t="s">
        <v>73</v>
      </c>
      <c r="BB32" s="1">
        <v>1860</v>
      </c>
      <c r="BC32" s="100">
        <v>45644.473587962966</v>
      </c>
      <c r="BD32" s="85">
        <v>45644.431921296295</v>
      </c>
      <c r="BE32" s="1" t="s">
        <v>73</v>
      </c>
      <c r="BF32" s="1" t="s">
        <v>73</v>
      </c>
      <c r="BG32" s="1" t="s">
        <v>73</v>
      </c>
      <c r="BH32" s="1" t="s">
        <v>73</v>
      </c>
      <c r="BI32" s="1" t="s">
        <v>73</v>
      </c>
      <c r="BJ32" s="1" t="s">
        <v>73</v>
      </c>
      <c r="BK32" s="1"/>
      <c r="BL32" s="1" t="s">
        <v>73</v>
      </c>
      <c r="BM32" s="1" t="s">
        <v>73</v>
      </c>
      <c r="BN32" s="1" t="s">
        <v>73</v>
      </c>
      <c r="BO32" s="1" t="s">
        <v>73</v>
      </c>
      <c r="BP32" s="1" t="s">
        <v>73</v>
      </c>
      <c r="BQ32" s="1" t="s">
        <v>73</v>
      </c>
      <c r="BR32" s="1"/>
      <c r="BS32" s="1" t="s">
        <v>73</v>
      </c>
      <c r="BT32" s="1" t="s">
        <v>73</v>
      </c>
      <c r="BU32" s="1" t="s">
        <v>73</v>
      </c>
      <c r="BV32" s="1" t="s">
        <v>73</v>
      </c>
      <c r="BW32" s="1"/>
      <c r="CB32"/>
      <c r="CC32"/>
    </row>
    <row r="33" spans="1:81" ht="16" x14ac:dyDescent="0.2">
      <c r="A33" t="s">
        <v>134</v>
      </c>
      <c r="B33" t="s">
        <v>207</v>
      </c>
      <c r="C33" t="s">
        <v>236</v>
      </c>
      <c r="D33" s="1" t="s">
        <v>73</v>
      </c>
      <c r="E33" s="1" t="s">
        <v>72</v>
      </c>
      <c r="F33" s="1" t="s">
        <v>72</v>
      </c>
      <c r="G33" s="1" t="s">
        <v>73</v>
      </c>
      <c r="H33" s="1"/>
      <c r="I33" s="1">
        <v>7</v>
      </c>
      <c r="N33" s="1"/>
      <c r="O33" s="1"/>
      <c r="P33" s="1"/>
      <c r="Q33" s="1" t="s">
        <v>73</v>
      </c>
      <c r="R33" s="1" t="s">
        <v>73</v>
      </c>
      <c r="S33" s="1" t="s">
        <v>73</v>
      </c>
      <c r="T33" s="79"/>
      <c r="U33" s="79"/>
      <c r="V33" s="1"/>
      <c r="W33" s="1"/>
      <c r="X33" s="1"/>
      <c r="Y33" s="1"/>
      <c r="Z33" s="1" t="s">
        <v>73</v>
      </c>
      <c r="AA33" s="1" t="s">
        <v>73</v>
      </c>
      <c r="AC33" s="1"/>
      <c r="AE33" s="1"/>
      <c r="AF33" s="1"/>
      <c r="AK33" s="1" t="s">
        <v>72</v>
      </c>
      <c r="AL33" s="1" t="s">
        <v>72</v>
      </c>
      <c r="AM33">
        <v>6</v>
      </c>
      <c r="AN33" s="1" t="s">
        <v>72</v>
      </c>
      <c r="AO33">
        <v>6</v>
      </c>
      <c r="AP33" s="1" t="s">
        <v>73</v>
      </c>
      <c r="AR33" s="1" t="s">
        <v>72</v>
      </c>
      <c r="AS33">
        <v>6</v>
      </c>
      <c r="AT33" t="s">
        <v>73</v>
      </c>
      <c r="AW33" s="1">
        <v>57</v>
      </c>
      <c r="AX33" s="1">
        <v>2</v>
      </c>
      <c r="AY33" s="1" t="s">
        <v>73</v>
      </c>
      <c r="AZ33" s="1" t="s">
        <v>73</v>
      </c>
      <c r="BA33" s="126" t="s">
        <v>73</v>
      </c>
      <c r="BB33" s="1">
        <v>1856</v>
      </c>
      <c r="BC33" s="100">
        <v>45643.504120370373</v>
      </c>
      <c r="BD33" s="85">
        <v>45646.44630787037</v>
      </c>
      <c r="BE33" s="1" t="s">
        <v>73</v>
      </c>
      <c r="BF33" s="1" t="s">
        <v>73</v>
      </c>
      <c r="BG33" s="1" t="s">
        <v>73</v>
      </c>
      <c r="BH33" s="1" t="s">
        <v>73</v>
      </c>
      <c r="BI33" s="1" t="s">
        <v>73</v>
      </c>
      <c r="BJ33" s="1" t="s">
        <v>73</v>
      </c>
      <c r="BK33" s="1"/>
      <c r="BL33" s="1" t="s">
        <v>73</v>
      </c>
      <c r="BM33" s="1" t="s">
        <v>73</v>
      </c>
      <c r="BN33" s="1" t="s">
        <v>73</v>
      </c>
      <c r="BO33" s="1" t="s">
        <v>73</v>
      </c>
      <c r="BP33" s="1" t="s">
        <v>73</v>
      </c>
      <c r="BQ33" s="1" t="s">
        <v>73</v>
      </c>
      <c r="BR33" s="1"/>
      <c r="BS33" s="1" t="s">
        <v>73</v>
      </c>
      <c r="BT33" s="1" t="s">
        <v>73</v>
      </c>
      <c r="BU33" s="1" t="s">
        <v>73</v>
      </c>
      <c r="BV33" s="1" t="s">
        <v>73</v>
      </c>
      <c r="BW33" s="1"/>
      <c r="CB33"/>
      <c r="CC33"/>
    </row>
    <row r="34" spans="1:81" ht="16" x14ac:dyDescent="0.2">
      <c r="A34" t="s">
        <v>134</v>
      </c>
      <c r="B34" t="s">
        <v>208</v>
      </c>
      <c r="C34" t="s">
        <v>209</v>
      </c>
      <c r="D34" s="1" t="s">
        <v>73</v>
      </c>
      <c r="E34" s="1" t="s">
        <v>72</v>
      </c>
      <c r="F34" s="1" t="s">
        <v>72</v>
      </c>
      <c r="G34" s="1" t="s">
        <v>73</v>
      </c>
      <c r="H34" s="1"/>
      <c r="I34" s="1">
        <v>8</v>
      </c>
      <c r="J34">
        <v>10</v>
      </c>
      <c r="L34">
        <v>4</v>
      </c>
      <c r="M34">
        <v>4</v>
      </c>
      <c r="N34" s="1"/>
      <c r="O34" s="1"/>
      <c r="P34" s="1"/>
      <c r="Q34" s="1" t="s">
        <v>73</v>
      </c>
      <c r="R34" s="1" t="s">
        <v>73</v>
      </c>
      <c r="S34" s="1" t="s">
        <v>73</v>
      </c>
      <c r="T34" s="79"/>
      <c r="U34" s="79"/>
      <c r="V34" s="1"/>
      <c r="W34" s="1"/>
      <c r="X34" s="1"/>
      <c r="Y34" s="1"/>
      <c r="Z34" s="1" t="s">
        <v>73</v>
      </c>
      <c r="AA34" s="1" t="s">
        <v>73</v>
      </c>
      <c r="AC34" s="1"/>
      <c r="AE34" s="1"/>
      <c r="AF34" s="1"/>
      <c r="AK34" s="1" t="s">
        <v>73</v>
      </c>
      <c r="AL34" s="1" t="s">
        <v>72</v>
      </c>
      <c r="AM34">
        <v>6</v>
      </c>
      <c r="AN34" s="1" t="s">
        <v>72</v>
      </c>
      <c r="AO34">
        <v>6</v>
      </c>
      <c r="AP34" s="1" t="s">
        <v>73</v>
      </c>
      <c r="AR34" s="1" t="s">
        <v>72</v>
      </c>
      <c r="AS34">
        <v>6</v>
      </c>
      <c r="AT34" t="s">
        <v>73</v>
      </c>
      <c r="AW34" s="1">
        <v>60</v>
      </c>
      <c r="AX34" s="1">
        <v>18</v>
      </c>
      <c r="AY34" s="1" t="s">
        <v>73</v>
      </c>
      <c r="AZ34" s="1" t="s">
        <v>73</v>
      </c>
      <c r="BA34" s="126" t="s">
        <v>73</v>
      </c>
      <c r="BB34" s="1">
        <v>1850</v>
      </c>
      <c r="BC34" s="100">
        <v>45642.834224537037</v>
      </c>
      <c r="BD34" s="85">
        <v>45642.792557870373</v>
      </c>
      <c r="BE34" s="1" t="s">
        <v>73</v>
      </c>
      <c r="BF34" s="1" t="s">
        <v>73</v>
      </c>
      <c r="BG34" s="1" t="s">
        <v>73</v>
      </c>
      <c r="BH34" s="1" t="s">
        <v>73</v>
      </c>
      <c r="BI34" s="1" t="s">
        <v>73</v>
      </c>
      <c r="BJ34" s="1" t="s">
        <v>73</v>
      </c>
      <c r="BK34" s="1"/>
      <c r="BL34" s="1" t="s">
        <v>73</v>
      </c>
      <c r="BM34" s="1" t="s">
        <v>73</v>
      </c>
      <c r="BN34" s="1" t="s">
        <v>73</v>
      </c>
      <c r="BO34" s="1" t="s">
        <v>73</v>
      </c>
      <c r="BP34" s="1" t="s">
        <v>73</v>
      </c>
      <c r="BQ34" s="1" t="s">
        <v>73</v>
      </c>
      <c r="BR34" s="1"/>
      <c r="BS34" s="1" t="s">
        <v>73</v>
      </c>
      <c r="BT34" s="1" t="s">
        <v>73</v>
      </c>
      <c r="BU34" s="1" t="s">
        <v>73</v>
      </c>
      <c r="BV34" s="1" t="s">
        <v>73</v>
      </c>
      <c r="BW34" s="1"/>
      <c r="CB34"/>
      <c r="CC34"/>
    </row>
    <row r="35" spans="1:81" ht="16" x14ac:dyDescent="0.2">
      <c r="A35" t="s">
        <v>134</v>
      </c>
      <c r="B35" t="s">
        <v>210</v>
      </c>
      <c r="C35" t="s">
        <v>211</v>
      </c>
      <c r="D35" s="1" t="s">
        <v>73</v>
      </c>
      <c r="E35" s="1" t="s">
        <v>72</v>
      </c>
      <c r="F35" s="1" t="s">
        <v>72</v>
      </c>
      <c r="G35" s="1" t="s">
        <v>73</v>
      </c>
      <c r="H35" s="1"/>
      <c r="I35" s="1">
        <v>5</v>
      </c>
      <c r="J35">
        <v>3</v>
      </c>
      <c r="N35" s="1">
        <v>4</v>
      </c>
      <c r="O35" s="1"/>
      <c r="P35" s="1"/>
      <c r="Q35" s="1" t="s">
        <v>73</v>
      </c>
      <c r="R35" s="1" t="s">
        <v>73</v>
      </c>
      <c r="S35" s="1" t="s">
        <v>73</v>
      </c>
      <c r="T35" s="79">
        <v>3</v>
      </c>
      <c r="U35" s="79">
        <v>1</v>
      </c>
      <c r="V35" s="1"/>
      <c r="W35" s="1">
        <v>3</v>
      </c>
      <c r="X35" s="1">
        <v>1</v>
      </c>
      <c r="Y35" s="1"/>
      <c r="Z35" s="1" t="s">
        <v>73</v>
      </c>
      <c r="AA35" s="1" t="s">
        <v>73</v>
      </c>
      <c r="AC35" s="1"/>
      <c r="AE35" s="1"/>
      <c r="AF35" s="1"/>
      <c r="AK35" s="1" t="s">
        <v>72</v>
      </c>
      <c r="AL35" s="1" t="s">
        <v>73</v>
      </c>
      <c r="AN35" s="1" t="s">
        <v>73</v>
      </c>
      <c r="AP35" s="1" t="s">
        <v>73</v>
      </c>
      <c r="AR35" s="1" t="s">
        <v>73</v>
      </c>
      <c r="AT35" t="s">
        <v>73</v>
      </c>
      <c r="AW35" s="1">
        <v>32</v>
      </c>
      <c r="AX35" s="1">
        <v>7</v>
      </c>
      <c r="AY35" s="1" t="s">
        <v>73</v>
      </c>
      <c r="AZ35" s="1" t="s">
        <v>73</v>
      </c>
      <c r="BA35" s="126" t="s">
        <v>73</v>
      </c>
      <c r="BB35" s="1">
        <v>1846</v>
      </c>
      <c r="BC35" s="100">
        <v>45642.806666666664</v>
      </c>
      <c r="BD35" s="85">
        <v>45642.764999999999</v>
      </c>
      <c r="BE35" s="1" t="s">
        <v>73</v>
      </c>
      <c r="BF35" s="1" t="s">
        <v>73</v>
      </c>
      <c r="BG35" s="1" t="s">
        <v>73</v>
      </c>
      <c r="BH35" s="1" t="s">
        <v>73</v>
      </c>
      <c r="BI35" s="1" t="s">
        <v>73</v>
      </c>
      <c r="BJ35" s="1" t="s">
        <v>73</v>
      </c>
      <c r="BK35" s="1"/>
      <c r="BL35" s="1" t="s">
        <v>73</v>
      </c>
      <c r="BM35" s="1" t="s">
        <v>73</v>
      </c>
      <c r="BN35" s="1" t="s">
        <v>73</v>
      </c>
      <c r="BO35" s="1" t="s">
        <v>73</v>
      </c>
      <c r="BP35" s="1" t="s">
        <v>73</v>
      </c>
      <c r="BQ35" s="1" t="s">
        <v>73</v>
      </c>
      <c r="BR35" s="1"/>
      <c r="BS35" s="1" t="s">
        <v>73</v>
      </c>
      <c r="BT35" s="1" t="s">
        <v>73</v>
      </c>
      <c r="BU35" s="1" t="s">
        <v>73</v>
      </c>
      <c r="BV35" s="1" t="s">
        <v>73</v>
      </c>
      <c r="BW35" s="1"/>
      <c r="CB35"/>
      <c r="CC35"/>
    </row>
    <row r="36" spans="1:81" ht="16" x14ac:dyDescent="0.2">
      <c r="A36" t="s">
        <v>134</v>
      </c>
      <c r="B36" t="s">
        <v>203</v>
      </c>
      <c r="C36" t="s">
        <v>204</v>
      </c>
      <c r="D36" s="1" t="s">
        <v>73</v>
      </c>
      <c r="E36" s="1" t="s">
        <v>73</v>
      </c>
      <c r="F36" s="1" t="s">
        <v>73</v>
      </c>
      <c r="G36" s="1" t="s">
        <v>73</v>
      </c>
      <c r="H36" s="1"/>
      <c r="I36" s="1"/>
      <c r="N36" s="1"/>
      <c r="O36" s="1"/>
      <c r="P36" s="1"/>
      <c r="Q36" s="1" t="s">
        <v>73</v>
      </c>
      <c r="R36" s="1" t="s">
        <v>73</v>
      </c>
      <c r="S36" s="1" t="s">
        <v>73</v>
      </c>
      <c r="T36" s="79"/>
      <c r="U36" s="79"/>
      <c r="V36" s="1"/>
      <c r="W36" s="1"/>
      <c r="X36" s="1"/>
      <c r="Y36" s="1"/>
      <c r="Z36" s="1" t="s">
        <v>73</v>
      </c>
      <c r="AA36" s="1" t="s">
        <v>73</v>
      </c>
      <c r="AC36" s="1"/>
      <c r="AE36" s="1"/>
      <c r="AF36" s="1"/>
      <c r="AK36" s="1" t="s">
        <v>73</v>
      </c>
      <c r="AL36" s="1" t="s">
        <v>73</v>
      </c>
      <c r="AN36" s="1" t="s">
        <v>73</v>
      </c>
      <c r="AP36" s="1" t="s">
        <v>73</v>
      </c>
      <c r="AR36" s="1" t="s">
        <v>73</v>
      </c>
      <c r="AT36" t="s">
        <v>73</v>
      </c>
      <c r="AW36" s="1">
        <v>30</v>
      </c>
      <c r="AX36" s="1">
        <v>2</v>
      </c>
      <c r="AY36" s="1" t="s">
        <v>72</v>
      </c>
      <c r="AZ36" s="1" t="s">
        <v>73</v>
      </c>
      <c r="BA36" s="126" t="s">
        <v>73</v>
      </c>
      <c r="BB36" s="1">
        <v>1843</v>
      </c>
      <c r="BC36" s="100">
        <v>45642.664270833331</v>
      </c>
      <c r="BD36" s="85">
        <v>45642.632361111115</v>
      </c>
      <c r="BE36" s="1" t="s">
        <v>73</v>
      </c>
      <c r="BF36" s="1" t="s">
        <v>73</v>
      </c>
      <c r="BG36" s="1" t="s">
        <v>73</v>
      </c>
      <c r="BH36" s="1" t="s">
        <v>73</v>
      </c>
      <c r="BI36" s="1" t="s">
        <v>73</v>
      </c>
      <c r="BJ36" s="1" t="s">
        <v>73</v>
      </c>
      <c r="BK36" s="1"/>
      <c r="BL36" s="1" t="s">
        <v>73</v>
      </c>
      <c r="BM36" s="1" t="s">
        <v>73</v>
      </c>
      <c r="BN36" s="1" t="s">
        <v>73</v>
      </c>
      <c r="BO36" s="1" t="s">
        <v>73</v>
      </c>
      <c r="BP36" s="1" t="s">
        <v>73</v>
      </c>
      <c r="BQ36" s="1" t="s">
        <v>73</v>
      </c>
      <c r="BR36" s="1"/>
      <c r="BS36" s="1" t="s">
        <v>73</v>
      </c>
      <c r="BT36" s="1" t="s">
        <v>73</v>
      </c>
      <c r="BU36" s="1" t="s">
        <v>73</v>
      </c>
      <c r="BV36" s="1" t="s">
        <v>73</v>
      </c>
      <c r="BW36" s="1"/>
      <c r="CB36"/>
      <c r="CC36"/>
    </row>
    <row r="37" spans="1:81" ht="16" x14ac:dyDescent="0.2">
      <c r="A37" t="s">
        <v>134</v>
      </c>
      <c r="B37" t="s">
        <v>192</v>
      </c>
      <c r="C37" t="s">
        <v>193</v>
      </c>
      <c r="D37" s="1" t="s">
        <v>73</v>
      </c>
      <c r="E37" s="1" t="s">
        <v>72</v>
      </c>
      <c r="F37" s="1" t="s">
        <v>72</v>
      </c>
      <c r="G37" s="1" t="s">
        <v>73</v>
      </c>
      <c r="H37" s="1"/>
      <c r="I37" s="1">
        <v>8</v>
      </c>
      <c r="N37" s="1"/>
      <c r="O37" s="1"/>
      <c r="P37" s="1"/>
      <c r="Q37" s="1" t="s">
        <v>73</v>
      </c>
      <c r="R37" s="1" t="s">
        <v>73</v>
      </c>
      <c r="S37" s="1" t="s">
        <v>73</v>
      </c>
      <c r="T37" s="79"/>
      <c r="U37" s="79"/>
      <c r="V37" s="1"/>
      <c r="W37" s="1"/>
      <c r="X37" s="1"/>
      <c r="Y37" s="1"/>
      <c r="Z37" s="1" t="s">
        <v>73</v>
      </c>
      <c r="AA37" s="1" t="s">
        <v>73</v>
      </c>
      <c r="AC37" s="1">
        <v>3</v>
      </c>
      <c r="AE37" s="1"/>
      <c r="AF37" s="1"/>
      <c r="AG37">
        <v>3</v>
      </c>
      <c r="AK37" s="1" t="s">
        <v>72</v>
      </c>
      <c r="AL37" s="1" t="s">
        <v>72</v>
      </c>
      <c r="AM37">
        <v>6</v>
      </c>
      <c r="AN37" s="1" t="s">
        <v>72</v>
      </c>
      <c r="AO37">
        <v>4</v>
      </c>
      <c r="AP37" s="1" t="s">
        <v>73</v>
      </c>
      <c r="AR37" s="1" t="s">
        <v>72</v>
      </c>
      <c r="AS37">
        <v>6</v>
      </c>
      <c r="AT37" t="s">
        <v>73</v>
      </c>
      <c r="AW37" s="1">
        <v>60</v>
      </c>
      <c r="AX37" s="1">
        <v>1</v>
      </c>
      <c r="AY37" s="1" t="s">
        <v>72</v>
      </c>
      <c r="AZ37" s="1" t="s">
        <v>72</v>
      </c>
      <c r="BA37" s="126" t="s">
        <v>73</v>
      </c>
      <c r="BB37" s="1">
        <v>1840</v>
      </c>
      <c r="BC37" s="100">
        <v>45641.723495370374</v>
      </c>
      <c r="BD37" s="85">
        <v>45641.681828703702</v>
      </c>
      <c r="BE37" s="1" t="s">
        <v>73</v>
      </c>
      <c r="BF37" s="1" t="s">
        <v>73</v>
      </c>
      <c r="BG37" s="1" t="s">
        <v>73</v>
      </c>
      <c r="BH37" s="1" t="s">
        <v>73</v>
      </c>
      <c r="BI37" s="1" t="s">
        <v>73</v>
      </c>
      <c r="BJ37" s="1" t="s">
        <v>73</v>
      </c>
      <c r="BK37" s="1"/>
      <c r="BL37" s="1" t="s">
        <v>73</v>
      </c>
      <c r="BM37" s="1" t="s">
        <v>73</v>
      </c>
      <c r="BN37" s="1" t="s">
        <v>73</v>
      </c>
      <c r="BO37" s="1" t="s">
        <v>73</v>
      </c>
      <c r="BP37" s="1" t="s">
        <v>73</v>
      </c>
      <c r="BQ37" s="1" t="s">
        <v>73</v>
      </c>
      <c r="BR37" s="1"/>
      <c r="BS37" s="1" t="s">
        <v>73</v>
      </c>
      <c r="BT37" s="1" t="s">
        <v>73</v>
      </c>
      <c r="BU37" s="1" t="s">
        <v>73</v>
      </c>
      <c r="BV37" s="1" t="s">
        <v>73</v>
      </c>
      <c r="BW37" s="1"/>
      <c r="CB37"/>
      <c r="CC37"/>
    </row>
    <row r="38" spans="1:81" ht="112" x14ac:dyDescent="0.2">
      <c r="A38" t="s">
        <v>134</v>
      </c>
      <c r="B38" t="s">
        <v>174</v>
      </c>
      <c r="C38" t="s">
        <v>130</v>
      </c>
      <c r="D38" s="1" t="s">
        <v>73</v>
      </c>
      <c r="E38" s="1" t="s">
        <v>72</v>
      </c>
      <c r="F38" s="1" t="s">
        <v>73</v>
      </c>
      <c r="G38" s="1" t="s">
        <v>73</v>
      </c>
      <c r="H38" s="1"/>
      <c r="I38" s="1">
        <v>4</v>
      </c>
      <c r="N38" s="1"/>
      <c r="O38" s="1"/>
      <c r="P38" s="1"/>
      <c r="Q38" s="1" t="s">
        <v>73</v>
      </c>
      <c r="R38" s="1" t="s">
        <v>73</v>
      </c>
      <c r="S38" s="1" t="s">
        <v>73</v>
      </c>
      <c r="T38" s="79"/>
      <c r="U38" s="79"/>
      <c r="V38" s="1"/>
      <c r="W38" s="1"/>
      <c r="X38" s="1"/>
      <c r="Y38" s="1"/>
      <c r="Z38" s="1" t="s">
        <v>73</v>
      </c>
      <c r="AA38" s="1" t="s">
        <v>73</v>
      </c>
      <c r="AC38" s="1"/>
      <c r="AE38" s="1"/>
      <c r="AF38" s="1"/>
      <c r="AK38" s="1" t="s">
        <v>73</v>
      </c>
      <c r="AL38" s="1" t="s">
        <v>72</v>
      </c>
      <c r="AM38">
        <v>4</v>
      </c>
      <c r="AN38" s="1" t="s">
        <v>72</v>
      </c>
      <c r="AO38">
        <v>4</v>
      </c>
      <c r="AP38" s="1" t="s">
        <v>73</v>
      </c>
      <c r="AR38" s="1" t="s">
        <v>73</v>
      </c>
      <c r="AT38" t="s">
        <v>73</v>
      </c>
      <c r="AW38" s="1">
        <v>50</v>
      </c>
      <c r="AX38" s="1">
        <v>0</v>
      </c>
      <c r="AY38" s="1" t="s">
        <v>73</v>
      </c>
      <c r="AZ38" s="1" t="s">
        <v>73</v>
      </c>
      <c r="BA38" s="126" t="s">
        <v>131</v>
      </c>
      <c r="BB38" s="1">
        <v>1809</v>
      </c>
      <c r="BC38" s="100">
        <v>45628.780671296299</v>
      </c>
      <c r="BD38" s="85">
        <v>45631.711145833331</v>
      </c>
      <c r="BE38" s="1" t="s">
        <v>73</v>
      </c>
      <c r="BF38" s="1" t="s">
        <v>73</v>
      </c>
      <c r="BG38" s="1" t="s">
        <v>73</v>
      </c>
      <c r="BH38" s="1" t="s">
        <v>73</v>
      </c>
      <c r="BI38" s="1" t="s">
        <v>73</v>
      </c>
      <c r="BJ38" s="1" t="s">
        <v>73</v>
      </c>
      <c r="BK38" s="1"/>
      <c r="BL38" s="1" t="s">
        <v>73</v>
      </c>
      <c r="BM38" s="1" t="s">
        <v>73</v>
      </c>
      <c r="BN38" s="1" t="s">
        <v>73</v>
      </c>
      <c r="BO38" s="1" t="s">
        <v>73</v>
      </c>
      <c r="BP38" s="1" t="s">
        <v>73</v>
      </c>
      <c r="BQ38" s="1" t="s">
        <v>73</v>
      </c>
      <c r="BR38" s="1"/>
      <c r="BS38" s="1" t="s">
        <v>73</v>
      </c>
      <c r="BT38" s="1" t="s">
        <v>73</v>
      </c>
      <c r="BU38" s="1" t="s">
        <v>73</v>
      </c>
      <c r="BV38" s="1" t="s">
        <v>73</v>
      </c>
      <c r="BW38" s="1"/>
      <c r="CB38"/>
      <c r="CC38"/>
    </row>
    <row r="39" spans="1:81" ht="16" x14ac:dyDescent="0.2">
      <c r="A39" t="s">
        <v>135</v>
      </c>
      <c r="B39" t="s">
        <v>354</v>
      </c>
      <c r="C39" t="s">
        <v>355</v>
      </c>
      <c r="D39" s="1" t="s">
        <v>73</v>
      </c>
      <c r="E39" s="1" t="s">
        <v>72</v>
      </c>
      <c r="F39" s="1" t="s">
        <v>72</v>
      </c>
      <c r="G39" s="1" t="s">
        <v>73</v>
      </c>
      <c r="H39" s="1"/>
      <c r="I39" s="1">
        <v>5</v>
      </c>
      <c r="N39" s="1"/>
      <c r="O39" s="1"/>
      <c r="P39" s="1"/>
      <c r="Q39" s="1" t="s">
        <v>73</v>
      </c>
      <c r="R39" s="1" t="s">
        <v>73</v>
      </c>
      <c r="S39" s="1" t="s">
        <v>73</v>
      </c>
      <c r="T39" s="79"/>
      <c r="U39" s="79"/>
      <c r="V39" s="1"/>
      <c r="W39" s="1"/>
      <c r="X39" s="1"/>
      <c r="Y39" s="1"/>
      <c r="Z39" s="1" t="s">
        <v>73</v>
      </c>
      <c r="AA39" s="1" t="s">
        <v>73</v>
      </c>
      <c r="AC39" s="1"/>
      <c r="AE39" s="1"/>
      <c r="AF39" s="1"/>
      <c r="AK39" s="1" t="s">
        <v>73</v>
      </c>
      <c r="AL39" s="1" t="s">
        <v>72</v>
      </c>
      <c r="AM39">
        <v>6</v>
      </c>
      <c r="AN39" s="1" t="s">
        <v>73</v>
      </c>
      <c r="AP39" s="1" t="s">
        <v>73</v>
      </c>
      <c r="AR39" s="1" t="s">
        <v>72</v>
      </c>
      <c r="AS39">
        <v>6</v>
      </c>
      <c r="AT39" t="s">
        <v>73</v>
      </c>
      <c r="AW39" s="1">
        <v>25</v>
      </c>
      <c r="AX39" s="1">
        <v>1</v>
      </c>
      <c r="AY39" s="1" t="s">
        <v>73</v>
      </c>
      <c r="AZ39" s="1" t="s">
        <v>73</v>
      </c>
      <c r="BA39" s="126" t="s">
        <v>73</v>
      </c>
      <c r="BB39" s="1">
        <v>1984</v>
      </c>
      <c r="BC39" s="100">
        <v>45657.489976851852</v>
      </c>
      <c r="BD39" s="85">
        <v>45657.448310185187</v>
      </c>
      <c r="BE39" s="1" t="s">
        <v>73</v>
      </c>
      <c r="BF39" s="1" t="s">
        <v>73</v>
      </c>
      <c r="BG39" s="1" t="s">
        <v>73</v>
      </c>
      <c r="BH39" s="1" t="s">
        <v>73</v>
      </c>
      <c r="BI39" s="1" t="s">
        <v>73</v>
      </c>
      <c r="BJ39" s="1" t="s">
        <v>73</v>
      </c>
      <c r="BK39" s="1"/>
      <c r="BL39" s="1" t="s">
        <v>73</v>
      </c>
      <c r="BM39" s="1" t="s">
        <v>73</v>
      </c>
      <c r="BN39" s="1" t="s">
        <v>73</v>
      </c>
      <c r="BO39" s="1" t="s">
        <v>73</v>
      </c>
      <c r="BP39" s="1" t="s">
        <v>73</v>
      </c>
      <c r="BQ39" s="1" t="s">
        <v>73</v>
      </c>
      <c r="BR39" s="1"/>
      <c r="BS39" s="1" t="s">
        <v>73</v>
      </c>
      <c r="BT39" s="1" t="s">
        <v>73</v>
      </c>
      <c r="BU39" s="1" t="s">
        <v>73</v>
      </c>
      <c r="BV39" s="1" t="s">
        <v>73</v>
      </c>
      <c r="BW39" s="1"/>
      <c r="BX39" t="s">
        <v>73</v>
      </c>
      <c r="BY39" t="s">
        <v>73</v>
      </c>
      <c r="CB39"/>
      <c r="CC39"/>
    </row>
    <row r="40" spans="1:81" ht="16" x14ac:dyDescent="0.2">
      <c r="A40" t="s">
        <v>135</v>
      </c>
      <c r="B40" t="s">
        <v>326</v>
      </c>
      <c r="C40" t="s">
        <v>327</v>
      </c>
      <c r="D40" s="1" t="s">
        <v>73</v>
      </c>
      <c r="E40" s="1" t="s">
        <v>72</v>
      </c>
      <c r="F40" s="1" t="s">
        <v>72</v>
      </c>
      <c r="G40" s="1" t="s">
        <v>72</v>
      </c>
      <c r="H40" s="1" t="s">
        <v>74</v>
      </c>
      <c r="I40" s="1">
        <v>7</v>
      </c>
      <c r="N40" s="1">
        <v>7</v>
      </c>
      <c r="O40" s="1"/>
      <c r="P40" s="1"/>
      <c r="Q40" s="1" t="s">
        <v>73</v>
      </c>
      <c r="R40" s="1" t="s">
        <v>73</v>
      </c>
      <c r="S40" s="1" t="s">
        <v>73</v>
      </c>
      <c r="T40" s="79">
        <v>2</v>
      </c>
      <c r="U40" s="79"/>
      <c r="V40" s="1"/>
      <c r="W40" s="1">
        <v>2</v>
      </c>
      <c r="X40" s="1"/>
      <c r="Y40" s="1"/>
      <c r="Z40" s="1" t="s">
        <v>72</v>
      </c>
      <c r="AA40" s="1" t="s">
        <v>73</v>
      </c>
      <c r="AB40">
        <v>4</v>
      </c>
      <c r="AC40" s="1">
        <v>1</v>
      </c>
      <c r="AE40" s="1"/>
      <c r="AF40" s="1"/>
      <c r="AG40">
        <v>1</v>
      </c>
      <c r="AK40" s="1" t="s">
        <v>73</v>
      </c>
      <c r="AL40" s="1" t="s">
        <v>72</v>
      </c>
      <c r="AM40">
        <v>6</v>
      </c>
      <c r="AN40" s="1" t="s">
        <v>72</v>
      </c>
      <c r="AO40">
        <v>3</v>
      </c>
      <c r="AP40" s="1" t="s">
        <v>72</v>
      </c>
      <c r="AQ40">
        <v>6</v>
      </c>
      <c r="AR40" s="1" t="s">
        <v>73</v>
      </c>
      <c r="AT40" t="s">
        <v>73</v>
      </c>
      <c r="AW40" s="1">
        <v>33</v>
      </c>
      <c r="AX40" s="1">
        <v>0</v>
      </c>
      <c r="AY40" s="1" t="s">
        <v>73</v>
      </c>
      <c r="AZ40" s="1" t="s">
        <v>73</v>
      </c>
      <c r="BA40" s="126" t="s">
        <v>73</v>
      </c>
      <c r="BB40" s="1">
        <v>1965</v>
      </c>
      <c r="BC40" s="100">
        <v>45655.548738425925</v>
      </c>
      <c r="BD40" s="85">
        <v>45655.507071759261</v>
      </c>
      <c r="BE40" s="1" t="s">
        <v>327</v>
      </c>
      <c r="BF40" s="1" t="s">
        <v>78</v>
      </c>
      <c r="BG40" s="1" t="s">
        <v>215</v>
      </c>
      <c r="BH40" s="1" t="s">
        <v>77</v>
      </c>
      <c r="BI40" s="1" t="s">
        <v>332</v>
      </c>
      <c r="BJ40" s="1" t="s">
        <v>333</v>
      </c>
      <c r="BK40" s="1">
        <v>20</v>
      </c>
      <c r="BL40" s="1" t="s">
        <v>73</v>
      </c>
      <c r="BM40" s="1" t="s">
        <v>73</v>
      </c>
      <c r="BN40" s="1" t="s">
        <v>73</v>
      </c>
      <c r="BO40" s="1" t="s">
        <v>73</v>
      </c>
      <c r="BP40" s="1" t="s">
        <v>73</v>
      </c>
      <c r="BQ40" s="1" t="s">
        <v>73</v>
      </c>
      <c r="BR40" s="1"/>
      <c r="BS40" s="1" t="s">
        <v>75</v>
      </c>
      <c r="BT40" s="1" t="s">
        <v>334</v>
      </c>
      <c r="BU40" s="1" t="s">
        <v>335</v>
      </c>
      <c r="BV40" s="1" t="s">
        <v>336</v>
      </c>
      <c r="BW40" s="1">
        <v>12</v>
      </c>
      <c r="BX40" t="s">
        <v>73</v>
      </c>
      <c r="BY40" t="s">
        <v>73</v>
      </c>
      <c r="CB40"/>
      <c r="CC40"/>
    </row>
    <row r="41" spans="1:81" ht="16" x14ac:dyDescent="0.2">
      <c r="A41" t="s">
        <v>135</v>
      </c>
      <c r="B41" t="s">
        <v>323</v>
      </c>
      <c r="C41" t="s">
        <v>324</v>
      </c>
      <c r="D41" s="1" t="s">
        <v>73</v>
      </c>
      <c r="E41" s="1" t="s">
        <v>72</v>
      </c>
      <c r="F41" s="1" t="s">
        <v>72</v>
      </c>
      <c r="G41" s="1" t="s">
        <v>73</v>
      </c>
      <c r="H41" s="1"/>
      <c r="I41" s="1">
        <v>3</v>
      </c>
      <c r="N41" s="1"/>
      <c r="O41" s="1"/>
      <c r="P41" s="1"/>
      <c r="Q41" s="1" t="s">
        <v>73</v>
      </c>
      <c r="R41" s="1" t="s">
        <v>73</v>
      </c>
      <c r="S41" s="1" t="s">
        <v>73</v>
      </c>
      <c r="T41" s="79"/>
      <c r="U41" s="79"/>
      <c r="V41" s="1"/>
      <c r="W41" s="1"/>
      <c r="X41" s="1"/>
      <c r="Y41" s="1"/>
      <c r="Z41" s="1" t="s">
        <v>73</v>
      </c>
      <c r="AA41" s="1" t="s">
        <v>73</v>
      </c>
      <c r="AC41" s="1"/>
      <c r="AE41" s="1"/>
      <c r="AF41" s="1"/>
      <c r="AK41" s="1" t="s">
        <v>73</v>
      </c>
      <c r="AL41" s="1" t="s">
        <v>72</v>
      </c>
      <c r="AM41">
        <v>6</v>
      </c>
      <c r="AN41" s="1" t="s">
        <v>72</v>
      </c>
      <c r="AO41">
        <v>6</v>
      </c>
      <c r="AP41" s="1" t="s">
        <v>73</v>
      </c>
      <c r="AR41" s="1" t="s">
        <v>72</v>
      </c>
      <c r="AS41">
        <v>6</v>
      </c>
      <c r="AT41" t="s">
        <v>73</v>
      </c>
      <c r="AW41" s="1">
        <v>25</v>
      </c>
      <c r="AX41" s="1">
        <v>0</v>
      </c>
      <c r="AY41" s="1" t="s">
        <v>73</v>
      </c>
      <c r="AZ41" s="1" t="s">
        <v>73</v>
      </c>
      <c r="BA41" s="126" t="s">
        <v>73</v>
      </c>
      <c r="BB41" s="1">
        <v>1961</v>
      </c>
      <c r="BC41" s="100">
        <v>45655.481435185182</v>
      </c>
      <c r="BD41" s="85">
        <v>45655.439768518518</v>
      </c>
      <c r="BE41" s="1" t="s">
        <v>73</v>
      </c>
      <c r="BF41" s="1" t="s">
        <v>73</v>
      </c>
      <c r="BG41" s="1" t="s">
        <v>73</v>
      </c>
      <c r="BH41" s="1" t="s">
        <v>73</v>
      </c>
      <c r="BI41" s="1" t="s">
        <v>73</v>
      </c>
      <c r="BJ41" s="1" t="s">
        <v>73</v>
      </c>
      <c r="BK41" s="1"/>
      <c r="BL41" s="1" t="s">
        <v>73</v>
      </c>
      <c r="BM41" s="1" t="s">
        <v>73</v>
      </c>
      <c r="BN41" s="1" t="s">
        <v>73</v>
      </c>
      <c r="BO41" s="1" t="s">
        <v>73</v>
      </c>
      <c r="BP41" s="1" t="s">
        <v>73</v>
      </c>
      <c r="BQ41" s="1" t="s">
        <v>73</v>
      </c>
      <c r="BR41" s="1"/>
      <c r="BS41" s="1" t="s">
        <v>73</v>
      </c>
      <c r="BT41" s="1" t="s">
        <v>73</v>
      </c>
      <c r="BU41" s="1" t="s">
        <v>73</v>
      </c>
      <c r="BV41" s="1" t="s">
        <v>73</v>
      </c>
      <c r="BW41" s="1"/>
      <c r="BX41" t="s">
        <v>73</v>
      </c>
      <c r="BY41" t="s">
        <v>73</v>
      </c>
      <c r="CB41"/>
      <c r="CC41"/>
    </row>
    <row r="42" spans="1:81" ht="16" x14ac:dyDescent="0.2">
      <c r="A42" t="s">
        <v>135</v>
      </c>
      <c r="B42" t="s">
        <v>269</v>
      </c>
      <c r="C42" t="s">
        <v>270</v>
      </c>
      <c r="D42" s="1" t="s">
        <v>72</v>
      </c>
      <c r="E42" s="1" t="s">
        <v>73</v>
      </c>
      <c r="F42" s="1" t="s">
        <v>73</v>
      </c>
      <c r="G42" s="1" t="s">
        <v>73</v>
      </c>
      <c r="H42" s="1"/>
      <c r="I42" s="1"/>
      <c r="N42" s="1"/>
      <c r="O42" s="1"/>
      <c r="P42" s="1"/>
      <c r="Q42" s="1" t="s">
        <v>73</v>
      </c>
      <c r="R42" s="1" t="s">
        <v>73</v>
      </c>
      <c r="S42" s="1" t="s">
        <v>73</v>
      </c>
      <c r="T42" s="79"/>
      <c r="U42" s="79"/>
      <c r="V42" s="1"/>
      <c r="W42" s="1"/>
      <c r="X42" s="1"/>
      <c r="Y42" s="1"/>
      <c r="Z42" s="1" t="s">
        <v>73</v>
      </c>
      <c r="AA42" s="1" t="s">
        <v>73</v>
      </c>
      <c r="AC42" s="1"/>
      <c r="AE42" s="1"/>
      <c r="AF42" s="1"/>
      <c r="AK42" s="1" t="s">
        <v>73</v>
      </c>
      <c r="AL42" s="1" t="s">
        <v>73</v>
      </c>
      <c r="AN42" s="1" t="s">
        <v>73</v>
      </c>
      <c r="AP42" s="1" t="s">
        <v>73</v>
      </c>
      <c r="AR42" s="1" t="s">
        <v>73</v>
      </c>
      <c r="AT42" t="s">
        <v>73</v>
      </c>
      <c r="AW42" s="1">
        <v>10</v>
      </c>
      <c r="AX42" s="1">
        <v>0</v>
      </c>
      <c r="AY42" s="1" t="s">
        <v>73</v>
      </c>
      <c r="AZ42" s="1" t="s">
        <v>73</v>
      </c>
      <c r="BA42" s="126" t="s">
        <v>73</v>
      </c>
      <c r="BB42" s="1">
        <v>1943</v>
      </c>
      <c r="BC42" s="100">
        <v>45653.471585648149</v>
      </c>
      <c r="BD42" s="85">
        <v>45653.429918981485</v>
      </c>
      <c r="BE42" s="1" t="s">
        <v>73</v>
      </c>
      <c r="BF42" s="1" t="s">
        <v>73</v>
      </c>
      <c r="BG42" s="1" t="s">
        <v>73</v>
      </c>
      <c r="BH42" s="1" t="s">
        <v>73</v>
      </c>
      <c r="BI42" s="1" t="s">
        <v>73</v>
      </c>
      <c r="BJ42" s="1" t="s">
        <v>73</v>
      </c>
      <c r="BK42" s="1"/>
      <c r="BL42" s="1" t="s">
        <v>73</v>
      </c>
      <c r="BM42" s="1" t="s">
        <v>73</v>
      </c>
      <c r="BN42" s="1" t="s">
        <v>73</v>
      </c>
      <c r="BO42" s="1" t="s">
        <v>73</v>
      </c>
      <c r="BP42" s="1" t="s">
        <v>73</v>
      </c>
      <c r="BQ42" s="1" t="s">
        <v>73</v>
      </c>
      <c r="BR42" s="1"/>
      <c r="BS42" s="1" t="s">
        <v>73</v>
      </c>
      <c r="BT42" s="1" t="s">
        <v>73</v>
      </c>
      <c r="BU42" s="1" t="s">
        <v>73</v>
      </c>
      <c r="BV42" s="1" t="s">
        <v>73</v>
      </c>
      <c r="BW42" s="1"/>
      <c r="BX42" t="s">
        <v>73</v>
      </c>
      <c r="BY42" t="s">
        <v>73</v>
      </c>
      <c r="CB42"/>
      <c r="CC42"/>
    </row>
    <row r="43" spans="1:81" ht="176" x14ac:dyDescent="0.2">
      <c r="A43" t="s">
        <v>135</v>
      </c>
      <c r="B43" t="s">
        <v>295</v>
      </c>
      <c r="C43" t="s">
        <v>296</v>
      </c>
      <c r="D43" s="1" t="s">
        <v>73</v>
      </c>
      <c r="E43" s="1" t="s">
        <v>72</v>
      </c>
      <c r="F43" s="1" t="s">
        <v>73</v>
      </c>
      <c r="G43" s="1" t="s">
        <v>73</v>
      </c>
      <c r="H43" s="1"/>
      <c r="I43" s="1">
        <v>8</v>
      </c>
      <c r="N43" s="1"/>
      <c r="O43" s="1"/>
      <c r="P43" s="1"/>
      <c r="Q43" s="1" t="s">
        <v>73</v>
      </c>
      <c r="R43" s="1" t="s">
        <v>73</v>
      </c>
      <c r="S43" s="1" t="s">
        <v>73</v>
      </c>
      <c r="T43" s="79"/>
      <c r="U43" s="79"/>
      <c r="V43" s="1"/>
      <c r="W43" s="1"/>
      <c r="X43" s="1"/>
      <c r="Y43" s="1"/>
      <c r="Z43" s="1" t="s">
        <v>73</v>
      </c>
      <c r="AA43" s="1" t="s">
        <v>73</v>
      </c>
      <c r="AC43" s="1"/>
      <c r="AE43" s="1"/>
      <c r="AF43" s="1"/>
      <c r="AK43" s="1" t="s">
        <v>73</v>
      </c>
      <c r="AL43" s="1" t="s">
        <v>73</v>
      </c>
      <c r="AN43" s="1" t="s">
        <v>73</v>
      </c>
      <c r="AP43" s="1" t="s">
        <v>73</v>
      </c>
      <c r="AR43" s="1" t="s">
        <v>73</v>
      </c>
      <c r="AT43" t="s">
        <v>73</v>
      </c>
      <c r="AW43" s="1">
        <v>9</v>
      </c>
      <c r="AX43" s="1">
        <v>0</v>
      </c>
      <c r="AY43" s="1" t="s">
        <v>73</v>
      </c>
      <c r="AZ43" s="1" t="s">
        <v>73</v>
      </c>
      <c r="BA43" s="126" t="s">
        <v>297</v>
      </c>
      <c r="BB43" s="1">
        <v>1932</v>
      </c>
      <c r="BC43" s="100">
        <v>45652.580729166664</v>
      </c>
      <c r="BD43" s="85">
        <v>45652.5390625</v>
      </c>
      <c r="BE43" s="1" t="s">
        <v>73</v>
      </c>
      <c r="BF43" s="1" t="s">
        <v>73</v>
      </c>
      <c r="BG43" s="1" t="s">
        <v>73</v>
      </c>
      <c r="BH43" s="1" t="s">
        <v>73</v>
      </c>
      <c r="BI43" s="1" t="s">
        <v>73</v>
      </c>
      <c r="BJ43" s="1" t="s">
        <v>73</v>
      </c>
      <c r="BK43" s="1"/>
      <c r="BL43" s="1" t="s">
        <v>73</v>
      </c>
      <c r="BM43" s="1" t="s">
        <v>73</v>
      </c>
      <c r="BN43" s="1" t="s">
        <v>73</v>
      </c>
      <c r="BO43" s="1" t="s">
        <v>73</v>
      </c>
      <c r="BP43" s="1" t="s">
        <v>73</v>
      </c>
      <c r="BQ43" s="1" t="s">
        <v>73</v>
      </c>
      <c r="BR43" s="1"/>
      <c r="BS43" s="1" t="s">
        <v>73</v>
      </c>
      <c r="BT43" s="1" t="s">
        <v>73</v>
      </c>
      <c r="BU43" s="1" t="s">
        <v>73</v>
      </c>
      <c r="BV43" s="1" t="s">
        <v>73</v>
      </c>
      <c r="BW43" s="1"/>
      <c r="BX43" t="s">
        <v>73</v>
      </c>
      <c r="BY43" t="s">
        <v>73</v>
      </c>
      <c r="CB43"/>
      <c r="CC43"/>
    </row>
    <row r="44" spans="1:81" ht="16" x14ac:dyDescent="0.2">
      <c r="A44" t="s">
        <v>135</v>
      </c>
      <c r="B44" t="s">
        <v>288</v>
      </c>
      <c r="C44" t="s">
        <v>289</v>
      </c>
      <c r="D44" s="1" t="s">
        <v>72</v>
      </c>
      <c r="E44" s="1" t="s">
        <v>73</v>
      </c>
      <c r="F44" s="1" t="s">
        <v>73</v>
      </c>
      <c r="G44" s="1" t="s">
        <v>73</v>
      </c>
      <c r="H44" s="1"/>
      <c r="I44" s="1"/>
      <c r="N44" s="1"/>
      <c r="O44" s="1"/>
      <c r="P44" s="1"/>
      <c r="Q44" s="1" t="s">
        <v>73</v>
      </c>
      <c r="R44" s="1" t="s">
        <v>73</v>
      </c>
      <c r="S44" s="1" t="s">
        <v>73</v>
      </c>
      <c r="T44" s="79"/>
      <c r="U44" s="79"/>
      <c r="V44" s="1"/>
      <c r="W44" s="1"/>
      <c r="X44" s="1"/>
      <c r="Y44" s="1"/>
      <c r="Z44" s="1" t="s">
        <v>73</v>
      </c>
      <c r="AA44" s="1" t="s">
        <v>73</v>
      </c>
      <c r="AC44" s="1"/>
      <c r="AE44" s="1"/>
      <c r="AF44" s="1"/>
      <c r="AK44" s="1" t="s">
        <v>73</v>
      </c>
      <c r="AL44" s="1" t="s">
        <v>73</v>
      </c>
      <c r="AN44" s="1" t="s">
        <v>73</v>
      </c>
      <c r="AP44" s="1" t="s">
        <v>73</v>
      </c>
      <c r="AR44" s="1" t="s">
        <v>73</v>
      </c>
      <c r="AT44" t="s">
        <v>73</v>
      </c>
      <c r="AW44" s="1">
        <v>10</v>
      </c>
      <c r="AX44" s="1">
        <v>0</v>
      </c>
      <c r="AY44" s="1" t="s">
        <v>73</v>
      </c>
      <c r="AZ44" s="1" t="s">
        <v>73</v>
      </c>
      <c r="BA44" s="126" t="s">
        <v>73</v>
      </c>
      <c r="BB44" s="1">
        <v>1931</v>
      </c>
      <c r="BC44" s="100">
        <v>45652.55159722222</v>
      </c>
      <c r="BD44" s="85">
        <v>45652.509930555556</v>
      </c>
      <c r="BE44" s="1" t="s">
        <v>73</v>
      </c>
      <c r="BF44" s="1" t="s">
        <v>73</v>
      </c>
      <c r="BG44" s="1" t="s">
        <v>73</v>
      </c>
      <c r="BH44" s="1" t="s">
        <v>73</v>
      </c>
      <c r="BI44" s="1" t="s">
        <v>73</v>
      </c>
      <c r="BJ44" s="1" t="s">
        <v>73</v>
      </c>
      <c r="BK44" s="1"/>
      <c r="BL44" s="1" t="s">
        <v>73</v>
      </c>
      <c r="BM44" s="1" t="s">
        <v>73</v>
      </c>
      <c r="BN44" s="1" t="s">
        <v>73</v>
      </c>
      <c r="BO44" s="1" t="s">
        <v>73</v>
      </c>
      <c r="BP44" s="1" t="s">
        <v>73</v>
      </c>
      <c r="BQ44" s="1" t="s">
        <v>73</v>
      </c>
      <c r="BR44" s="1"/>
      <c r="BS44" s="1" t="s">
        <v>73</v>
      </c>
      <c r="BT44" s="1" t="s">
        <v>73</v>
      </c>
      <c r="BU44" s="1" t="s">
        <v>73</v>
      </c>
      <c r="BV44" s="1" t="s">
        <v>73</v>
      </c>
      <c r="BW44" s="1"/>
      <c r="BX44" t="s">
        <v>73</v>
      </c>
      <c r="BY44" t="s">
        <v>73</v>
      </c>
      <c r="CB44"/>
      <c r="CC44"/>
    </row>
    <row r="45" spans="1:81" ht="16" x14ac:dyDescent="0.2">
      <c r="A45" t="s">
        <v>135</v>
      </c>
      <c r="B45" t="s">
        <v>254</v>
      </c>
      <c r="C45" t="s">
        <v>255</v>
      </c>
      <c r="D45" s="1" t="s">
        <v>73</v>
      </c>
      <c r="E45" s="1" t="s">
        <v>72</v>
      </c>
      <c r="F45" s="1" t="s">
        <v>72</v>
      </c>
      <c r="G45" s="1" t="s">
        <v>73</v>
      </c>
      <c r="H45" s="1"/>
      <c r="I45" s="1">
        <v>6</v>
      </c>
      <c r="N45" s="1"/>
      <c r="O45" s="1"/>
      <c r="P45" s="1"/>
      <c r="Q45" s="1" t="s">
        <v>73</v>
      </c>
      <c r="R45" s="1" t="s">
        <v>73</v>
      </c>
      <c r="S45" s="1" t="s">
        <v>73</v>
      </c>
      <c r="T45" s="79"/>
      <c r="U45" s="79"/>
      <c r="V45" s="1"/>
      <c r="W45" s="1"/>
      <c r="X45" s="1"/>
      <c r="Y45" s="1"/>
      <c r="Z45" s="1" t="s">
        <v>72</v>
      </c>
      <c r="AA45" s="1" t="s">
        <v>73</v>
      </c>
      <c r="AC45" s="1"/>
      <c r="AE45" s="1"/>
      <c r="AF45" s="1"/>
      <c r="AK45" s="1" t="s">
        <v>73</v>
      </c>
      <c r="AL45" s="1" t="s">
        <v>72</v>
      </c>
      <c r="AM45">
        <v>6</v>
      </c>
      <c r="AN45" s="1" t="s">
        <v>72</v>
      </c>
      <c r="AO45">
        <v>6</v>
      </c>
      <c r="AP45" s="1" t="s">
        <v>73</v>
      </c>
      <c r="AR45" s="1" t="s">
        <v>72</v>
      </c>
      <c r="AS45">
        <v>6</v>
      </c>
      <c r="AT45" t="s">
        <v>73</v>
      </c>
      <c r="AW45" s="1">
        <v>64</v>
      </c>
      <c r="AX45" s="1">
        <v>4</v>
      </c>
      <c r="AY45" s="1" t="s">
        <v>72</v>
      </c>
      <c r="AZ45" s="1" t="s">
        <v>73</v>
      </c>
      <c r="BA45" s="126" t="s">
        <v>73</v>
      </c>
      <c r="BB45" s="1">
        <v>1919</v>
      </c>
      <c r="BC45" s="100">
        <v>45651.458738425928</v>
      </c>
      <c r="BD45" s="85">
        <v>45651.417071759257</v>
      </c>
      <c r="BE45" s="1" t="s">
        <v>255</v>
      </c>
      <c r="BF45" s="1" t="s">
        <v>78</v>
      </c>
      <c r="BG45" s="1" t="s">
        <v>76</v>
      </c>
      <c r="BH45" s="1" t="s">
        <v>77</v>
      </c>
      <c r="BI45" s="1" t="s">
        <v>286</v>
      </c>
      <c r="BJ45" s="1" t="s">
        <v>287</v>
      </c>
      <c r="BK45" s="1">
        <v>43</v>
      </c>
      <c r="BL45" s="1" t="s">
        <v>73</v>
      </c>
      <c r="BM45" s="1" t="s">
        <v>73</v>
      </c>
      <c r="BN45" s="1" t="s">
        <v>73</v>
      </c>
      <c r="BO45" s="1" t="s">
        <v>73</v>
      </c>
      <c r="BP45" s="1" t="s">
        <v>73</v>
      </c>
      <c r="BQ45" s="1" t="s">
        <v>73</v>
      </c>
      <c r="BR45" s="1"/>
      <c r="BS45" s="1" t="s">
        <v>73</v>
      </c>
      <c r="BT45" s="1" t="s">
        <v>73</v>
      </c>
      <c r="BU45" s="1" t="s">
        <v>73</v>
      </c>
      <c r="BV45" s="1" t="s">
        <v>73</v>
      </c>
      <c r="BW45" s="1"/>
      <c r="BX45" t="s">
        <v>73</v>
      </c>
      <c r="BY45" t="s">
        <v>73</v>
      </c>
      <c r="CB45"/>
      <c r="CC45"/>
    </row>
    <row r="46" spans="1:81" ht="16" x14ac:dyDescent="0.2">
      <c r="A46" t="s">
        <v>135</v>
      </c>
      <c r="B46" t="s">
        <v>271</v>
      </c>
      <c r="C46" t="s">
        <v>272</v>
      </c>
      <c r="D46" s="1" t="s">
        <v>73</v>
      </c>
      <c r="E46" s="1" t="s">
        <v>72</v>
      </c>
      <c r="F46" s="1" t="s">
        <v>72</v>
      </c>
      <c r="G46" s="1" t="s">
        <v>73</v>
      </c>
      <c r="H46" s="1"/>
      <c r="I46" s="1">
        <v>8</v>
      </c>
      <c r="J46">
        <v>4</v>
      </c>
      <c r="L46">
        <v>2</v>
      </c>
      <c r="N46" s="1"/>
      <c r="O46" s="1"/>
      <c r="P46" s="1"/>
      <c r="Q46" s="1" t="s">
        <v>73</v>
      </c>
      <c r="R46" s="1" t="s">
        <v>73</v>
      </c>
      <c r="S46" s="1" t="s">
        <v>73</v>
      </c>
      <c r="T46" s="79"/>
      <c r="U46" s="79"/>
      <c r="V46" s="1"/>
      <c r="W46" s="1"/>
      <c r="X46" s="1"/>
      <c r="Y46" s="1"/>
      <c r="Z46" s="1" t="s">
        <v>73</v>
      </c>
      <c r="AA46" s="1" t="s">
        <v>73</v>
      </c>
      <c r="AC46" s="1">
        <v>5</v>
      </c>
      <c r="AE46" s="1"/>
      <c r="AF46" s="1"/>
      <c r="AG46">
        <v>5</v>
      </c>
      <c r="AK46" s="1" t="s">
        <v>73</v>
      </c>
      <c r="AL46" s="1" t="s">
        <v>73</v>
      </c>
      <c r="AN46" s="1" t="s">
        <v>73</v>
      </c>
      <c r="AP46" s="1" t="s">
        <v>73</v>
      </c>
      <c r="AR46" s="1" t="s">
        <v>73</v>
      </c>
      <c r="AT46" t="s">
        <v>73</v>
      </c>
      <c r="AW46" s="1">
        <v>60</v>
      </c>
      <c r="AX46" s="1">
        <v>15</v>
      </c>
      <c r="AY46" s="1" t="s">
        <v>73</v>
      </c>
      <c r="AZ46" s="1" t="s">
        <v>73</v>
      </c>
      <c r="BA46" s="126" t="s">
        <v>73</v>
      </c>
      <c r="BB46" s="1">
        <v>1911</v>
      </c>
      <c r="BC46" s="100">
        <v>45649.735833333332</v>
      </c>
      <c r="BD46" s="85">
        <v>45656.705277777779</v>
      </c>
      <c r="BE46" s="1" t="s">
        <v>73</v>
      </c>
      <c r="BF46" s="1" t="s">
        <v>73</v>
      </c>
      <c r="BG46" s="1" t="s">
        <v>73</v>
      </c>
      <c r="BH46" s="1" t="s">
        <v>73</v>
      </c>
      <c r="BI46" s="1" t="s">
        <v>73</v>
      </c>
      <c r="BJ46" s="1" t="s">
        <v>73</v>
      </c>
      <c r="BK46" s="1"/>
      <c r="BL46" s="1" t="s">
        <v>73</v>
      </c>
      <c r="BM46" s="1" t="s">
        <v>73</v>
      </c>
      <c r="BN46" s="1" t="s">
        <v>73</v>
      </c>
      <c r="BO46" s="1" t="s">
        <v>73</v>
      </c>
      <c r="BP46" s="1" t="s">
        <v>73</v>
      </c>
      <c r="BQ46" s="1" t="s">
        <v>73</v>
      </c>
      <c r="BR46" s="1"/>
      <c r="BS46" s="1" t="s">
        <v>73</v>
      </c>
      <c r="BT46" s="1" t="s">
        <v>73</v>
      </c>
      <c r="BU46" s="1" t="s">
        <v>73</v>
      </c>
      <c r="BV46" s="1" t="s">
        <v>73</v>
      </c>
      <c r="BW46" s="1"/>
      <c r="BX46" t="s">
        <v>73</v>
      </c>
      <c r="BY46" t="s">
        <v>73</v>
      </c>
      <c r="CB46"/>
      <c r="CC46"/>
    </row>
    <row r="47" spans="1:81" ht="16" x14ac:dyDescent="0.2">
      <c r="A47" t="s">
        <v>135</v>
      </c>
      <c r="B47" t="s">
        <v>185</v>
      </c>
      <c r="C47" t="s">
        <v>133</v>
      </c>
      <c r="D47" s="1" t="s">
        <v>73</v>
      </c>
      <c r="E47" s="1" t="s">
        <v>72</v>
      </c>
      <c r="F47" s="1" t="s">
        <v>73</v>
      </c>
      <c r="G47" s="1" t="s">
        <v>73</v>
      </c>
      <c r="H47" s="1"/>
      <c r="I47" s="1">
        <v>9</v>
      </c>
      <c r="J47">
        <v>3</v>
      </c>
      <c r="L47">
        <v>3</v>
      </c>
      <c r="N47" s="1"/>
      <c r="O47" s="1"/>
      <c r="P47" s="1"/>
      <c r="Q47" s="1" t="s">
        <v>73</v>
      </c>
      <c r="R47" s="1" t="s">
        <v>73</v>
      </c>
      <c r="S47" s="1" t="s">
        <v>73</v>
      </c>
      <c r="T47" s="79"/>
      <c r="U47" s="79"/>
      <c r="V47" s="1"/>
      <c r="W47" s="1"/>
      <c r="X47" s="1"/>
      <c r="Y47" s="1"/>
      <c r="Z47" s="1" t="s">
        <v>72</v>
      </c>
      <c r="AA47" s="1" t="s">
        <v>73</v>
      </c>
      <c r="AC47" s="1">
        <v>3</v>
      </c>
      <c r="AE47" s="1"/>
      <c r="AF47" s="1"/>
      <c r="AG47">
        <v>2</v>
      </c>
      <c r="AK47" s="1" t="s">
        <v>73</v>
      </c>
      <c r="AL47" s="1" t="s">
        <v>72</v>
      </c>
      <c r="AM47">
        <v>6</v>
      </c>
      <c r="AN47" s="1" t="s">
        <v>72</v>
      </c>
      <c r="AO47">
        <v>6</v>
      </c>
      <c r="AP47" s="1" t="s">
        <v>73</v>
      </c>
      <c r="AR47" s="1" t="s">
        <v>72</v>
      </c>
      <c r="AS47">
        <v>6</v>
      </c>
      <c r="AT47" t="s">
        <v>73</v>
      </c>
      <c r="AW47" s="1">
        <v>68</v>
      </c>
      <c r="AX47" s="1">
        <v>3</v>
      </c>
      <c r="AY47" s="1" t="s">
        <v>73</v>
      </c>
      <c r="AZ47" s="1" t="s">
        <v>73</v>
      </c>
      <c r="BA47" s="126" t="s">
        <v>73</v>
      </c>
      <c r="BB47" s="1">
        <v>1903</v>
      </c>
      <c r="BC47" s="100">
        <v>45649.543437499997</v>
      </c>
      <c r="BD47" s="85">
        <v>45655.579525462963</v>
      </c>
      <c r="BE47" s="1" t="s">
        <v>133</v>
      </c>
      <c r="BF47" s="1" t="s">
        <v>78</v>
      </c>
      <c r="BG47" s="1" t="s">
        <v>76</v>
      </c>
      <c r="BH47" s="1" t="s">
        <v>252</v>
      </c>
      <c r="BI47" s="1" t="s">
        <v>273</v>
      </c>
      <c r="BJ47" s="1" t="s">
        <v>274</v>
      </c>
      <c r="BK47" s="1">
        <v>20</v>
      </c>
      <c r="BL47" s="1" t="s">
        <v>73</v>
      </c>
      <c r="BM47" s="1" t="s">
        <v>73</v>
      </c>
      <c r="BN47" s="1" t="s">
        <v>73</v>
      </c>
      <c r="BO47" s="1" t="s">
        <v>73</v>
      </c>
      <c r="BP47" s="1" t="s">
        <v>73</v>
      </c>
      <c r="BQ47" s="1" t="s">
        <v>73</v>
      </c>
      <c r="BR47" s="1"/>
      <c r="BS47" s="1" t="s">
        <v>73</v>
      </c>
      <c r="BT47" s="1" t="s">
        <v>73</v>
      </c>
      <c r="BU47" s="1" t="s">
        <v>73</v>
      </c>
      <c r="BV47" s="1" t="s">
        <v>73</v>
      </c>
      <c r="BW47" s="1"/>
      <c r="BX47" t="s">
        <v>73</v>
      </c>
      <c r="BY47" t="s">
        <v>73</v>
      </c>
      <c r="CB47"/>
      <c r="CC47"/>
    </row>
    <row r="48" spans="1:81" ht="16" x14ac:dyDescent="0.2">
      <c r="A48" t="s">
        <v>135</v>
      </c>
      <c r="B48" t="s">
        <v>262</v>
      </c>
      <c r="C48" t="s">
        <v>263</v>
      </c>
      <c r="D48" s="1" t="s">
        <v>73</v>
      </c>
      <c r="E48" s="1" t="s">
        <v>72</v>
      </c>
      <c r="F48" s="1" t="s">
        <v>72</v>
      </c>
      <c r="G48" s="1" t="s">
        <v>72</v>
      </c>
      <c r="H48" s="1" t="s">
        <v>74</v>
      </c>
      <c r="I48" s="1">
        <v>10</v>
      </c>
      <c r="L48">
        <v>3</v>
      </c>
      <c r="N48" s="1">
        <v>4</v>
      </c>
      <c r="O48" s="1"/>
      <c r="P48" s="1"/>
      <c r="Q48" s="1" t="s">
        <v>73</v>
      </c>
      <c r="R48" s="1" t="s">
        <v>73</v>
      </c>
      <c r="S48" s="1" t="s">
        <v>73</v>
      </c>
      <c r="T48" s="79">
        <v>1</v>
      </c>
      <c r="U48" s="79">
        <v>1</v>
      </c>
      <c r="V48" s="1">
        <v>1</v>
      </c>
      <c r="W48" s="1">
        <v>1</v>
      </c>
      <c r="X48" s="1">
        <v>1</v>
      </c>
      <c r="Y48" s="1">
        <v>1</v>
      </c>
      <c r="Z48" s="1" t="s">
        <v>73</v>
      </c>
      <c r="AA48" s="1" t="s">
        <v>73</v>
      </c>
      <c r="AB48">
        <v>5</v>
      </c>
      <c r="AC48" s="1">
        <v>9</v>
      </c>
      <c r="AE48" s="1">
        <v>1</v>
      </c>
      <c r="AF48" s="1"/>
      <c r="AG48">
        <v>9</v>
      </c>
      <c r="AI48">
        <v>1</v>
      </c>
      <c r="AK48" s="1" t="s">
        <v>73</v>
      </c>
      <c r="AL48" s="1" t="s">
        <v>72</v>
      </c>
      <c r="AM48">
        <v>6</v>
      </c>
      <c r="AN48" s="1" t="s">
        <v>73</v>
      </c>
      <c r="AP48" s="1" t="s">
        <v>73</v>
      </c>
      <c r="AR48" s="1" t="s">
        <v>72</v>
      </c>
      <c r="AS48">
        <v>6</v>
      </c>
      <c r="AT48" t="s">
        <v>72</v>
      </c>
      <c r="AU48">
        <v>1</v>
      </c>
      <c r="AW48" s="1">
        <v>70</v>
      </c>
      <c r="AX48" s="1">
        <v>26</v>
      </c>
      <c r="AY48" s="1" t="s">
        <v>73</v>
      </c>
      <c r="AZ48" s="1" t="s">
        <v>73</v>
      </c>
      <c r="BA48" s="126" t="s">
        <v>73</v>
      </c>
      <c r="BB48" s="1">
        <v>1898</v>
      </c>
      <c r="BC48" s="100">
        <v>45648.890462962961</v>
      </c>
      <c r="BD48" s="85">
        <v>45648.848796296297</v>
      </c>
      <c r="BE48" s="1" t="s">
        <v>73</v>
      </c>
      <c r="BF48" s="1" t="s">
        <v>73</v>
      </c>
      <c r="BG48" s="1" t="s">
        <v>73</v>
      </c>
      <c r="BH48" s="1" t="s">
        <v>73</v>
      </c>
      <c r="BI48" s="1" t="s">
        <v>73</v>
      </c>
      <c r="BJ48" s="1" t="s">
        <v>73</v>
      </c>
      <c r="BK48" s="1"/>
      <c r="BL48" s="1" t="s">
        <v>73</v>
      </c>
      <c r="BM48" s="1" t="s">
        <v>73</v>
      </c>
      <c r="BN48" s="1" t="s">
        <v>73</v>
      </c>
      <c r="BO48" s="1" t="s">
        <v>73</v>
      </c>
      <c r="BP48" s="1" t="s">
        <v>73</v>
      </c>
      <c r="BQ48" s="1" t="s">
        <v>73</v>
      </c>
      <c r="BR48" s="1"/>
      <c r="BS48" s="1" t="s">
        <v>75</v>
      </c>
      <c r="BT48" s="1" t="s">
        <v>264</v>
      </c>
      <c r="BU48" s="1" t="s">
        <v>268</v>
      </c>
      <c r="BV48" s="1" t="s">
        <v>266</v>
      </c>
      <c r="BW48" s="1">
        <v>20</v>
      </c>
      <c r="BX48" t="s">
        <v>73</v>
      </c>
      <c r="BY48" t="s">
        <v>73</v>
      </c>
      <c r="CB48"/>
      <c r="CC48"/>
    </row>
    <row r="49" spans="1:81" ht="64" x14ac:dyDescent="0.2">
      <c r="A49" t="s">
        <v>135</v>
      </c>
      <c r="B49" t="s">
        <v>259</v>
      </c>
      <c r="C49" t="s">
        <v>260</v>
      </c>
      <c r="D49" s="1" t="s">
        <v>73</v>
      </c>
      <c r="E49" s="1" t="s">
        <v>73</v>
      </c>
      <c r="F49" s="1" t="s">
        <v>72</v>
      </c>
      <c r="G49" s="1" t="s">
        <v>73</v>
      </c>
      <c r="H49" s="1"/>
      <c r="I49" s="1">
        <v>4</v>
      </c>
      <c r="N49" s="1"/>
      <c r="O49" s="1"/>
      <c r="P49" s="1"/>
      <c r="Q49" s="1" t="s">
        <v>73</v>
      </c>
      <c r="R49" s="1" t="s">
        <v>73</v>
      </c>
      <c r="S49" s="1" t="s">
        <v>73</v>
      </c>
      <c r="T49" s="79"/>
      <c r="U49" s="79"/>
      <c r="V49" s="1"/>
      <c r="W49" s="1"/>
      <c r="X49" s="1"/>
      <c r="Y49" s="1"/>
      <c r="Z49" s="1" t="s">
        <v>73</v>
      </c>
      <c r="AA49" s="1" t="s">
        <v>73</v>
      </c>
      <c r="AC49" s="1"/>
      <c r="AE49" s="1"/>
      <c r="AF49" s="1"/>
      <c r="AK49" s="1" t="s">
        <v>73</v>
      </c>
      <c r="AL49" s="1" t="s">
        <v>72</v>
      </c>
      <c r="AM49">
        <v>6</v>
      </c>
      <c r="AN49" s="1" t="s">
        <v>72</v>
      </c>
      <c r="AO49">
        <v>6</v>
      </c>
      <c r="AP49" s="1" t="s">
        <v>73</v>
      </c>
      <c r="AR49" s="1" t="s">
        <v>73</v>
      </c>
      <c r="AT49" t="s">
        <v>73</v>
      </c>
      <c r="AW49" s="1">
        <v>15</v>
      </c>
      <c r="AX49" s="1">
        <v>2</v>
      </c>
      <c r="AY49" s="1" t="s">
        <v>73</v>
      </c>
      <c r="AZ49" s="1" t="s">
        <v>73</v>
      </c>
      <c r="BA49" s="126" t="s">
        <v>261</v>
      </c>
      <c r="BB49" s="1">
        <v>1894</v>
      </c>
      <c r="BC49" s="100">
        <v>45648.812951388885</v>
      </c>
      <c r="BD49" s="85">
        <v>45648.771284722221</v>
      </c>
      <c r="BE49" s="1" t="s">
        <v>73</v>
      </c>
      <c r="BF49" s="1" t="s">
        <v>73</v>
      </c>
      <c r="BG49" s="1" t="s">
        <v>73</v>
      </c>
      <c r="BH49" s="1" t="s">
        <v>73</v>
      </c>
      <c r="BI49" s="1" t="s">
        <v>73</v>
      </c>
      <c r="BJ49" s="1" t="s">
        <v>73</v>
      </c>
      <c r="BK49" s="1"/>
      <c r="BL49" s="1" t="s">
        <v>73</v>
      </c>
      <c r="BM49" s="1" t="s">
        <v>73</v>
      </c>
      <c r="BN49" s="1" t="s">
        <v>73</v>
      </c>
      <c r="BO49" s="1" t="s">
        <v>73</v>
      </c>
      <c r="BP49" s="1" t="s">
        <v>73</v>
      </c>
      <c r="BQ49" s="1" t="s">
        <v>73</v>
      </c>
      <c r="BR49" s="1"/>
      <c r="BS49" s="1" t="s">
        <v>73</v>
      </c>
      <c r="BT49" s="1" t="s">
        <v>73</v>
      </c>
      <c r="BU49" s="1" t="s">
        <v>73</v>
      </c>
      <c r="BV49" s="1" t="s">
        <v>73</v>
      </c>
      <c r="BW49" s="1"/>
      <c r="BX49" t="s">
        <v>73</v>
      </c>
      <c r="BY49" t="s">
        <v>73</v>
      </c>
      <c r="CB49"/>
      <c r="CC49"/>
    </row>
    <row r="50" spans="1:81" ht="16" x14ac:dyDescent="0.2">
      <c r="A50" t="s">
        <v>135</v>
      </c>
      <c r="B50" t="s">
        <v>257</v>
      </c>
      <c r="C50" t="s">
        <v>258</v>
      </c>
      <c r="D50" s="1" t="s">
        <v>72</v>
      </c>
      <c r="E50" s="1" t="s">
        <v>73</v>
      </c>
      <c r="F50" s="1" t="s">
        <v>73</v>
      </c>
      <c r="G50" s="1" t="s">
        <v>73</v>
      </c>
      <c r="H50" s="1"/>
      <c r="I50" s="1"/>
      <c r="N50" s="1"/>
      <c r="O50" s="1"/>
      <c r="P50" s="1"/>
      <c r="Q50" s="1" t="s">
        <v>73</v>
      </c>
      <c r="R50" s="1" t="s">
        <v>73</v>
      </c>
      <c r="S50" s="1" t="s">
        <v>73</v>
      </c>
      <c r="T50" s="79"/>
      <c r="U50" s="79"/>
      <c r="V50" s="1"/>
      <c r="W50" s="1"/>
      <c r="X50" s="1"/>
      <c r="Y50" s="1"/>
      <c r="Z50" s="1" t="s">
        <v>73</v>
      </c>
      <c r="AA50" s="1" t="s">
        <v>73</v>
      </c>
      <c r="AC50" s="1"/>
      <c r="AE50" s="1"/>
      <c r="AF50" s="1"/>
      <c r="AK50" s="1" t="s">
        <v>73</v>
      </c>
      <c r="AL50" s="1" t="s">
        <v>73</v>
      </c>
      <c r="AN50" s="1" t="s">
        <v>73</v>
      </c>
      <c r="AP50" s="1" t="s">
        <v>73</v>
      </c>
      <c r="AR50" s="1" t="s">
        <v>73</v>
      </c>
      <c r="AT50" t="s">
        <v>73</v>
      </c>
      <c r="AW50" s="1">
        <v>4</v>
      </c>
      <c r="AX50" s="1">
        <v>0</v>
      </c>
      <c r="AY50" s="1" t="s">
        <v>73</v>
      </c>
      <c r="AZ50" s="1" t="s">
        <v>73</v>
      </c>
      <c r="BA50" s="126" t="s">
        <v>73</v>
      </c>
      <c r="BB50" s="1">
        <v>1891</v>
      </c>
      <c r="BC50" s="100">
        <v>45648.414872685185</v>
      </c>
      <c r="BD50" s="85">
        <v>45648.373206018521</v>
      </c>
      <c r="BE50" s="1" t="s">
        <v>73</v>
      </c>
      <c r="BF50" s="1" t="s">
        <v>73</v>
      </c>
      <c r="BG50" s="1" t="s">
        <v>73</v>
      </c>
      <c r="BH50" s="1" t="s">
        <v>73</v>
      </c>
      <c r="BI50" s="1" t="s">
        <v>73</v>
      </c>
      <c r="BJ50" s="1" t="s">
        <v>73</v>
      </c>
      <c r="BK50" s="1"/>
      <c r="BL50" s="1" t="s">
        <v>73</v>
      </c>
      <c r="BM50" s="1" t="s">
        <v>73</v>
      </c>
      <c r="BN50" s="1" t="s">
        <v>73</v>
      </c>
      <c r="BO50" s="1" t="s">
        <v>73</v>
      </c>
      <c r="BP50" s="1" t="s">
        <v>73</v>
      </c>
      <c r="BQ50" s="1" t="s">
        <v>73</v>
      </c>
      <c r="BR50" s="1"/>
      <c r="BS50" s="1" t="s">
        <v>73</v>
      </c>
      <c r="BT50" s="1" t="s">
        <v>73</v>
      </c>
      <c r="BU50" s="1" t="s">
        <v>73</v>
      </c>
      <c r="BV50" s="1" t="s">
        <v>73</v>
      </c>
      <c r="BW50" s="1"/>
      <c r="BX50" t="s">
        <v>73</v>
      </c>
      <c r="BY50" t="s">
        <v>73</v>
      </c>
      <c r="CB50"/>
      <c r="CC50"/>
    </row>
    <row r="51" spans="1:81" ht="16" x14ac:dyDescent="0.2">
      <c r="A51" t="s">
        <v>135</v>
      </c>
      <c r="B51" t="s">
        <v>247</v>
      </c>
      <c r="C51" t="s">
        <v>248</v>
      </c>
      <c r="D51" s="1" t="s">
        <v>73</v>
      </c>
      <c r="E51" s="1" t="s">
        <v>72</v>
      </c>
      <c r="F51" s="1" t="s">
        <v>72</v>
      </c>
      <c r="G51" s="1" t="s">
        <v>73</v>
      </c>
      <c r="H51" s="1"/>
      <c r="I51" s="1">
        <v>8</v>
      </c>
      <c r="J51">
        <v>3</v>
      </c>
      <c r="N51" s="1"/>
      <c r="O51" s="1"/>
      <c r="P51" s="1"/>
      <c r="Q51" s="1" t="s">
        <v>73</v>
      </c>
      <c r="R51" s="1" t="s">
        <v>73</v>
      </c>
      <c r="S51" s="1" t="s">
        <v>73</v>
      </c>
      <c r="T51" s="79"/>
      <c r="U51" s="79"/>
      <c r="V51" s="1"/>
      <c r="W51" s="1"/>
      <c r="X51" s="1"/>
      <c r="Y51" s="1"/>
      <c r="Z51" s="1" t="s">
        <v>73</v>
      </c>
      <c r="AA51" s="1" t="s">
        <v>73</v>
      </c>
      <c r="AC51" s="1"/>
      <c r="AE51" s="1"/>
      <c r="AF51" s="1"/>
      <c r="AK51" s="1" t="s">
        <v>73</v>
      </c>
      <c r="AL51" s="1" t="s">
        <v>73</v>
      </c>
      <c r="AN51" s="1" t="s">
        <v>73</v>
      </c>
      <c r="AP51" s="1" t="s">
        <v>73</v>
      </c>
      <c r="AR51" s="1" t="s">
        <v>73</v>
      </c>
      <c r="AT51" t="s">
        <v>73</v>
      </c>
      <c r="AW51" s="1">
        <v>35</v>
      </c>
      <c r="AX51" s="1">
        <v>4</v>
      </c>
      <c r="AY51" s="1" t="s">
        <v>73</v>
      </c>
      <c r="AZ51" s="1" t="s">
        <v>73</v>
      </c>
      <c r="BA51" s="126" t="s">
        <v>73</v>
      </c>
      <c r="BB51" s="1">
        <v>1890</v>
      </c>
      <c r="BC51" s="100">
        <v>45647.574328703704</v>
      </c>
      <c r="BD51" s="85">
        <v>45657.430625000001</v>
      </c>
      <c r="BE51" s="1" t="s">
        <v>73</v>
      </c>
      <c r="BF51" s="1" t="s">
        <v>73</v>
      </c>
      <c r="BG51" s="1" t="s">
        <v>73</v>
      </c>
      <c r="BH51" s="1" t="s">
        <v>73</v>
      </c>
      <c r="BI51" s="1" t="s">
        <v>73</v>
      </c>
      <c r="BJ51" s="1" t="s">
        <v>73</v>
      </c>
      <c r="BK51" s="1"/>
      <c r="BL51" s="1" t="s">
        <v>73</v>
      </c>
      <c r="BM51" s="1" t="s">
        <v>73</v>
      </c>
      <c r="BN51" s="1" t="s">
        <v>73</v>
      </c>
      <c r="BO51" s="1" t="s">
        <v>73</v>
      </c>
      <c r="BP51" s="1" t="s">
        <v>73</v>
      </c>
      <c r="BQ51" s="1" t="s">
        <v>73</v>
      </c>
      <c r="BR51" s="1"/>
      <c r="BS51" s="1" t="s">
        <v>73</v>
      </c>
      <c r="BT51" s="1" t="s">
        <v>73</v>
      </c>
      <c r="BU51" s="1" t="s">
        <v>73</v>
      </c>
      <c r="BV51" s="1" t="s">
        <v>73</v>
      </c>
      <c r="BW51" s="1"/>
      <c r="BX51" t="s">
        <v>73</v>
      </c>
      <c r="BY51" t="s">
        <v>73</v>
      </c>
      <c r="CB51"/>
      <c r="CC51"/>
    </row>
    <row r="52" spans="1:81" ht="176" x14ac:dyDescent="0.2">
      <c r="A52" t="s">
        <v>135</v>
      </c>
      <c r="B52" t="s">
        <v>241</v>
      </c>
      <c r="C52" t="s">
        <v>242</v>
      </c>
      <c r="D52" s="1" t="s">
        <v>73</v>
      </c>
      <c r="E52" s="1" t="s">
        <v>72</v>
      </c>
      <c r="F52" s="1" t="s">
        <v>72</v>
      </c>
      <c r="G52" s="1" t="s">
        <v>73</v>
      </c>
      <c r="H52" s="1" t="s">
        <v>72</v>
      </c>
      <c r="I52" s="1">
        <v>6</v>
      </c>
      <c r="J52">
        <v>3</v>
      </c>
      <c r="N52" s="1"/>
      <c r="O52" s="1"/>
      <c r="P52" s="1"/>
      <c r="Q52" s="1" t="s">
        <v>73</v>
      </c>
      <c r="R52" s="1" t="s">
        <v>73</v>
      </c>
      <c r="S52" s="1" t="s">
        <v>73</v>
      </c>
      <c r="T52" s="79">
        <v>1</v>
      </c>
      <c r="U52" s="79"/>
      <c r="V52" s="1"/>
      <c r="W52" s="1">
        <v>1</v>
      </c>
      <c r="X52" s="1"/>
      <c r="Y52" s="1"/>
      <c r="Z52" s="1" t="s">
        <v>73</v>
      </c>
      <c r="AA52" s="1" t="s">
        <v>73</v>
      </c>
      <c r="AB52">
        <v>7</v>
      </c>
      <c r="AC52" s="1"/>
      <c r="AE52" s="1"/>
      <c r="AF52" s="1"/>
      <c r="AK52" s="1" t="s">
        <v>73</v>
      </c>
      <c r="AL52" s="1" t="s">
        <v>72</v>
      </c>
      <c r="AM52">
        <v>6</v>
      </c>
      <c r="AN52" s="1" t="s">
        <v>72</v>
      </c>
      <c r="AO52">
        <v>6</v>
      </c>
      <c r="AP52" s="1" t="s">
        <v>73</v>
      </c>
      <c r="AR52" s="1" t="s">
        <v>72</v>
      </c>
      <c r="AS52">
        <v>6</v>
      </c>
      <c r="AT52" t="s">
        <v>72</v>
      </c>
      <c r="AU52">
        <v>4</v>
      </c>
      <c r="AV52">
        <v>5</v>
      </c>
      <c r="AW52" s="1">
        <v>46</v>
      </c>
      <c r="AX52" s="1">
        <v>18</v>
      </c>
      <c r="AY52" s="1" t="s">
        <v>73</v>
      </c>
      <c r="AZ52" s="1" t="s">
        <v>73</v>
      </c>
      <c r="BA52" s="126" t="s">
        <v>243</v>
      </c>
      <c r="BB52" s="1">
        <v>1885</v>
      </c>
      <c r="BC52" s="100">
        <v>45647.553773148145</v>
      </c>
      <c r="BD52" s="85">
        <v>45657.486215277779</v>
      </c>
      <c r="BE52" s="1" t="s">
        <v>73</v>
      </c>
      <c r="BF52" s="1" t="s">
        <v>73</v>
      </c>
      <c r="BG52" s="1" t="s">
        <v>73</v>
      </c>
      <c r="BH52" s="1" t="s">
        <v>73</v>
      </c>
      <c r="BI52" s="1" t="s">
        <v>73</v>
      </c>
      <c r="BJ52" s="1" t="s">
        <v>73</v>
      </c>
      <c r="BK52" s="1"/>
      <c r="BL52" s="1" t="s">
        <v>73</v>
      </c>
      <c r="BM52" s="1" t="s">
        <v>73</v>
      </c>
      <c r="BN52" s="1" t="s">
        <v>73</v>
      </c>
      <c r="BO52" s="1" t="s">
        <v>73</v>
      </c>
      <c r="BP52" s="1" t="s">
        <v>73</v>
      </c>
      <c r="BQ52" s="1" t="s">
        <v>73</v>
      </c>
      <c r="BR52" s="1"/>
      <c r="BS52" s="1" t="s">
        <v>169</v>
      </c>
      <c r="BT52" s="1" t="s">
        <v>356</v>
      </c>
      <c r="BU52" s="1" t="s">
        <v>357</v>
      </c>
      <c r="BV52" s="1" t="s">
        <v>358</v>
      </c>
      <c r="BW52" s="1">
        <v>8</v>
      </c>
      <c r="BX52" t="s">
        <v>73</v>
      </c>
      <c r="BY52" t="s">
        <v>73</v>
      </c>
      <c r="CB52"/>
      <c r="CC52"/>
    </row>
    <row r="53" spans="1:81" ht="16" x14ac:dyDescent="0.2">
      <c r="A53" t="s">
        <v>135</v>
      </c>
      <c r="B53" t="s">
        <v>244</v>
      </c>
      <c r="C53" t="s">
        <v>245</v>
      </c>
      <c r="D53" s="1" t="s">
        <v>73</v>
      </c>
      <c r="E53" s="1" t="s">
        <v>72</v>
      </c>
      <c r="F53" s="1" t="s">
        <v>72</v>
      </c>
      <c r="G53" s="1" t="s">
        <v>73</v>
      </c>
      <c r="H53" s="1"/>
      <c r="I53" s="1">
        <v>7</v>
      </c>
      <c r="N53" s="1"/>
      <c r="O53" s="1"/>
      <c r="P53" s="1"/>
      <c r="Q53" s="1" t="s">
        <v>73</v>
      </c>
      <c r="R53" s="1" t="s">
        <v>73</v>
      </c>
      <c r="S53" s="1" t="s">
        <v>73</v>
      </c>
      <c r="T53" s="79">
        <v>2</v>
      </c>
      <c r="U53" s="79"/>
      <c r="V53" s="1"/>
      <c r="W53" s="1">
        <v>2</v>
      </c>
      <c r="X53" s="1"/>
      <c r="Y53" s="1"/>
      <c r="Z53" s="1" t="s">
        <v>72</v>
      </c>
      <c r="AA53" s="1" t="s">
        <v>73</v>
      </c>
      <c r="AC53" s="1">
        <v>2</v>
      </c>
      <c r="AE53" s="1"/>
      <c r="AF53" s="1"/>
      <c r="AG53">
        <v>2</v>
      </c>
      <c r="AK53" s="1" t="s">
        <v>73</v>
      </c>
      <c r="AL53" s="1" t="s">
        <v>72</v>
      </c>
      <c r="AM53">
        <v>6</v>
      </c>
      <c r="AN53" s="1" t="s">
        <v>72</v>
      </c>
      <c r="AO53">
        <v>6</v>
      </c>
      <c r="AP53" s="1" t="s">
        <v>73</v>
      </c>
      <c r="AR53" s="1" t="s">
        <v>72</v>
      </c>
      <c r="AS53">
        <v>6</v>
      </c>
      <c r="AT53" t="s">
        <v>72</v>
      </c>
      <c r="AU53">
        <v>1</v>
      </c>
      <c r="AW53" s="1">
        <v>75</v>
      </c>
      <c r="AX53" s="1">
        <v>5</v>
      </c>
      <c r="AY53" s="1" t="s">
        <v>73</v>
      </c>
      <c r="AZ53" s="1" t="s">
        <v>73</v>
      </c>
      <c r="BA53" s="126" t="s">
        <v>73</v>
      </c>
      <c r="BB53" s="1">
        <v>1880</v>
      </c>
      <c r="BC53" s="100">
        <v>45647.421400462961</v>
      </c>
      <c r="BD53" s="85">
        <v>45647.441203703704</v>
      </c>
      <c r="BE53" s="1" t="s">
        <v>245</v>
      </c>
      <c r="BF53" s="1" t="s">
        <v>78</v>
      </c>
      <c r="BG53" s="1" t="s">
        <v>215</v>
      </c>
      <c r="BH53" s="1" t="s">
        <v>162</v>
      </c>
      <c r="BI53" s="1" t="s">
        <v>246</v>
      </c>
      <c r="BJ53" s="1" t="s">
        <v>246</v>
      </c>
      <c r="BK53" s="1">
        <v>35</v>
      </c>
      <c r="BL53" s="1" t="s">
        <v>73</v>
      </c>
      <c r="BM53" s="1" t="s">
        <v>73</v>
      </c>
      <c r="BN53" s="1" t="s">
        <v>73</v>
      </c>
      <c r="BO53" s="1" t="s">
        <v>73</v>
      </c>
      <c r="BP53" s="1" t="s">
        <v>73</v>
      </c>
      <c r="BQ53" s="1" t="s">
        <v>73</v>
      </c>
      <c r="BR53" s="1"/>
      <c r="BS53" s="1" t="s">
        <v>73</v>
      </c>
      <c r="BT53" s="1" t="s">
        <v>73</v>
      </c>
      <c r="BU53" s="1" t="s">
        <v>73</v>
      </c>
      <c r="BV53" s="1" t="s">
        <v>73</v>
      </c>
      <c r="BW53" s="1"/>
      <c r="BX53" t="s">
        <v>73</v>
      </c>
      <c r="BY53" t="s">
        <v>73</v>
      </c>
      <c r="CB53"/>
      <c r="CC53"/>
    </row>
    <row r="54" spans="1:81" ht="16" x14ac:dyDescent="0.2">
      <c r="A54" t="s">
        <v>135</v>
      </c>
      <c r="B54" t="s">
        <v>237</v>
      </c>
      <c r="C54" t="s">
        <v>238</v>
      </c>
      <c r="D54" s="1" t="s">
        <v>73</v>
      </c>
      <c r="E54" s="1" t="s">
        <v>72</v>
      </c>
      <c r="F54" s="1" t="s">
        <v>72</v>
      </c>
      <c r="G54" s="1" t="s">
        <v>73</v>
      </c>
      <c r="H54" s="1"/>
      <c r="I54" s="1">
        <v>4</v>
      </c>
      <c r="N54" s="1"/>
      <c r="O54" s="1"/>
      <c r="P54" s="1"/>
      <c r="Q54" s="1" t="s">
        <v>73</v>
      </c>
      <c r="R54" s="1" t="s">
        <v>73</v>
      </c>
      <c r="S54" s="1" t="s">
        <v>73</v>
      </c>
      <c r="T54" s="79"/>
      <c r="U54" s="79"/>
      <c r="V54" s="1"/>
      <c r="W54" s="1"/>
      <c r="X54" s="1"/>
      <c r="Y54" s="1"/>
      <c r="Z54" s="1" t="s">
        <v>73</v>
      </c>
      <c r="AA54" s="1" t="s">
        <v>73</v>
      </c>
      <c r="AC54" s="1"/>
      <c r="AD54">
        <v>1</v>
      </c>
      <c r="AE54" s="1"/>
      <c r="AF54" s="1"/>
      <c r="AH54">
        <v>1</v>
      </c>
      <c r="AK54" s="1" t="s">
        <v>73</v>
      </c>
      <c r="AL54" s="1" t="s">
        <v>72</v>
      </c>
      <c r="AM54">
        <v>6</v>
      </c>
      <c r="AN54" s="1" t="s">
        <v>72</v>
      </c>
      <c r="AO54">
        <v>6</v>
      </c>
      <c r="AP54" s="1" t="s">
        <v>72</v>
      </c>
      <c r="AQ54">
        <v>6</v>
      </c>
      <c r="AR54" s="1" t="s">
        <v>72</v>
      </c>
      <c r="AS54">
        <v>6</v>
      </c>
      <c r="AT54" t="s">
        <v>73</v>
      </c>
      <c r="AW54" s="1">
        <v>6</v>
      </c>
      <c r="AX54" s="1">
        <v>0</v>
      </c>
      <c r="AY54" s="1" t="s">
        <v>73</v>
      </c>
      <c r="AZ54" s="1" t="s">
        <v>73</v>
      </c>
      <c r="BA54" s="126" t="s">
        <v>73</v>
      </c>
      <c r="BB54" s="1">
        <v>1869</v>
      </c>
      <c r="BC54" s="100">
        <v>45645.398530092592</v>
      </c>
      <c r="BD54" s="85">
        <v>45645.356863425928</v>
      </c>
      <c r="BE54" s="1" t="s">
        <v>73</v>
      </c>
      <c r="BF54" s="1" t="s">
        <v>73</v>
      </c>
      <c r="BG54" s="1" t="s">
        <v>73</v>
      </c>
      <c r="BH54" s="1" t="s">
        <v>73</v>
      </c>
      <c r="BI54" s="1" t="s">
        <v>73</v>
      </c>
      <c r="BJ54" s="1" t="s">
        <v>73</v>
      </c>
      <c r="BK54" s="1"/>
      <c r="BL54" s="1" t="s">
        <v>73</v>
      </c>
      <c r="BM54" s="1" t="s">
        <v>73</v>
      </c>
      <c r="BN54" s="1" t="s">
        <v>73</v>
      </c>
      <c r="BO54" s="1" t="s">
        <v>73</v>
      </c>
      <c r="BP54" s="1" t="s">
        <v>73</v>
      </c>
      <c r="BQ54" s="1" t="s">
        <v>73</v>
      </c>
      <c r="BR54" s="1"/>
      <c r="BS54" s="1" t="s">
        <v>73</v>
      </c>
      <c r="BT54" s="1" t="s">
        <v>73</v>
      </c>
      <c r="BU54" s="1" t="s">
        <v>73</v>
      </c>
      <c r="BV54" s="1" t="s">
        <v>73</v>
      </c>
      <c r="BW54" s="1"/>
      <c r="BX54" t="s">
        <v>73</v>
      </c>
      <c r="BY54" t="s">
        <v>73</v>
      </c>
      <c r="CB54"/>
      <c r="CC54"/>
    </row>
    <row r="55" spans="1:81" ht="16" x14ac:dyDescent="0.2">
      <c r="A55" t="s">
        <v>135</v>
      </c>
      <c r="B55" t="s">
        <v>228</v>
      </c>
      <c r="C55" t="s">
        <v>229</v>
      </c>
      <c r="D55" s="1" t="s">
        <v>73</v>
      </c>
      <c r="E55" s="1" t="s">
        <v>72</v>
      </c>
      <c r="F55" s="1" t="s">
        <v>72</v>
      </c>
      <c r="G55" s="1" t="s">
        <v>73</v>
      </c>
      <c r="H55" s="1"/>
      <c r="I55" s="1">
        <v>6</v>
      </c>
      <c r="L55">
        <v>4</v>
      </c>
      <c r="N55" s="1"/>
      <c r="O55" s="1"/>
      <c r="P55" s="1"/>
      <c r="Q55" s="1" t="s">
        <v>73</v>
      </c>
      <c r="R55" s="1" t="s">
        <v>73</v>
      </c>
      <c r="S55" s="1" t="s">
        <v>73</v>
      </c>
      <c r="T55" s="79"/>
      <c r="U55" s="79"/>
      <c r="V55" s="1"/>
      <c r="W55" s="1"/>
      <c r="X55" s="1"/>
      <c r="Y55" s="1"/>
      <c r="Z55" s="1" t="s">
        <v>73</v>
      </c>
      <c r="AA55" s="1" t="s">
        <v>73</v>
      </c>
      <c r="AC55" s="1">
        <v>5</v>
      </c>
      <c r="AE55" s="1"/>
      <c r="AF55" s="1"/>
      <c r="AG55">
        <v>2</v>
      </c>
      <c r="AK55" s="1" t="s">
        <v>73</v>
      </c>
      <c r="AL55" s="1" t="s">
        <v>72</v>
      </c>
      <c r="AM55">
        <v>4</v>
      </c>
      <c r="AN55" s="1" t="s">
        <v>72</v>
      </c>
      <c r="AO55">
        <v>4</v>
      </c>
      <c r="AP55" s="1" t="s">
        <v>73</v>
      </c>
      <c r="AR55" s="1" t="s">
        <v>73</v>
      </c>
      <c r="AT55" t="s">
        <v>73</v>
      </c>
      <c r="AW55" s="1">
        <v>50</v>
      </c>
      <c r="AX55" s="1">
        <v>15</v>
      </c>
      <c r="AY55" s="1" t="s">
        <v>73</v>
      </c>
      <c r="AZ55" s="1" t="s">
        <v>73</v>
      </c>
      <c r="BA55" s="126" t="s">
        <v>73</v>
      </c>
      <c r="BB55" s="1">
        <v>1867</v>
      </c>
      <c r="BC55" s="100">
        <v>45644.860902777778</v>
      </c>
      <c r="BD55" s="85">
        <v>45649.548842592594</v>
      </c>
      <c r="BE55" s="1" t="s">
        <v>73</v>
      </c>
      <c r="BF55" s="1" t="s">
        <v>73</v>
      </c>
      <c r="BG55" s="1" t="s">
        <v>73</v>
      </c>
      <c r="BH55" s="1" t="s">
        <v>73</v>
      </c>
      <c r="BI55" s="1" t="s">
        <v>73</v>
      </c>
      <c r="BJ55" s="1" t="s">
        <v>73</v>
      </c>
      <c r="BK55" s="1"/>
      <c r="BL55" s="1" t="s">
        <v>73</v>
      </c>
      <c r="BM55" s="1" t="s">
        <v>73</v>
      </c>
      <c r="BN55" s="1" t="s">
        <v>73</v>
      </c>
      <c r="BO55" s="1" t="s">
        <v>73</v>
      </c>
      <c r="BP55" s="1" t="s">
        <v>73</v>
      </c>
      <c r="BQ55" s="1" t="s">
        <v>73</v>
      </c>
      <c r="BR55" s="1"/>
      <c r="BS55" s="1" t="s">
        <v>73</v>
      </c>
      <c r="BT55" s="1" t="s">
        <v>73</v>
      </c>
      <c r="BU55" s="1" t="s">
        <v>73</v>
      </c>
      <c r="BV55" s="1" t="s">
        <v>73</v>
      </c>
      <c r="BW55" s="1"/>
      <c r="BX55" t="s">
        <v>73</v>
      </c>
      <c r="BY55" t="s">
        <v>73</v>
      </c>
      <c r="CB55"/>
      <c r="CC55"/>
    </row>
    <row r="56" spans="1:81" ht="16" x14ac:dyDescent="0.2">
      <c r="A56" t="s">
        <v>135</v>
      </c>
      <c r="B56" t="s">
        <v>226</v>
      </c>
      <c r="C56" t="s">
        <v>227</v>
      </c>
      <c r="D56" s="1" t="s">
        <v>73</v>
      </c>
      <c r="E56" s="1" t="s">
        <v>72</v>
      </c>
      <c r="F56" s="1" t="s">
        <v>72</v>
      </c>
      <c r="G56" s="1" t="s">
        <v>73</v>
      </c>
      <c r="H56" s="1"/>
      <c r="I56" s="1">
        <v>5</v>
      </c>
      <c r="N56" s="1"/>
      <c r="O56" s="1"/>
      <c r="P56" s="1"/>
      <c r="Q56" s="1" t="s">
        <v>73</v>
      </c>
      <c r="R56" s="1" t="s">
        <v>73</v>
      </c>
      <c r="S56" s="1" t="s">
        <v>73</v>
      </c>
      <c r="T56" s="79"/>
      <c r="U56" s="79"/>
      <c r="V56" s="1"/>
      <c r="W56" s="1"/>
      <c r="X56" s="1"/>
      <c r="Y56" s="1"/>
      <c r="Z56" s="1" t="s">
        <v>73</v>
      </c>
      <c r="AA56" s="1" t="s">
        <v>73</v>
      </c>
      <c r="AC56" s="1"/>
      <c r="AE56" s="1"/>
      <c r="AF56" s="1"/>
      <c r="AK56" s="1" t="s">
        <v>72</v>
      </c>
      <c r="AL56" s="1" t="s">
        <v>72</v>
      </c>
      <c r="AM56">
        <v>5</v>
      </c>
      <c r="AN56" s="1" t="s">
        <v>72</v>
      </c>
      <c r="AO56">
        <v>5</v>
      </c>
      <c r="AP56" s="1" t="s">
        <v>73</v>
      </c>
      <c r="AR56" s="1" t="s">
        <v>72</v>
      </c>
      <c r="AS56">
        <v>5</v>
      </c>
      <c r="AT56" t="s">
        <v>73</v>
      </c>
      <c r="AW56" s="1">
        <v>40</v>
      </c>
      <c r="AX56" s="1">
        <v>1</v>
      </c>
      <c r="AY56" s="1" t="s">
        <v>73</v>
      </c>
      <c r="AZ56" s="1" t="s">
        <v>73</v>
      </c>
      <c r="BA56" s="126" t="s">
        <v>73</v>
      </c>
      <c r="BB56" s="1">
        <v>1864</v>
      </c>
      <c r="BC56" s="100">
        <v>45644.82234953704</v>
      </c>
      <c r="BD56" s="85">
        <v>45644.780682870369</v>
      </c>
      <c r="BE56" s="1" t="s">
        <v>73</v>
      </c>
      <c r="BF56" s="1" t="s">
        <v>73</v>
      </c>
      <c r="BG56" s="1" t="s">
        <v>73</v>
      </c>
      <c r="BH56" s="1" t="s">
        <v>73</v>
      </c>
      <c r="BI56" s="1" t="s">
        <v>73</v>
      </c>
      <c r="BJ56" s="1" t="s">
        <v>73</v>
      </c>
      <c r="BK56" s="1"/>
      <c r="BL56" s="1" t="s">
        <v>73</v>
      </c>
      <c r="BM56" s="1" t="s">
        <v>73</v>
      </c>
      <c r="BN56" s="1" t="s">
        <v>73</v>
      </c>
      <c r="BO56" s="1" t="s">
        <v>73</v>
      </c>
      <c r="BP56" s="1" t="s">
        <v>73</v>
      </c>
      <c r="BQ56" s="1" t="s">
        <v>73</v>
      </c>
      <c r="BR56" s="1"/>
      <c r="BS56" s="1" t="s">
        <v>73</v>
      </c>
      <c r="BT56" s="1" t="s">
        <v>73</v>
      </c>
      <c r="BU56" s="1" t="s">
        <v>73</v>
      </c>
      <c r="BV56" s="1" t="s">
        <v>73</v>
      </c>
      <c r="BW56" s="1"/>
      <c r="BX56" t="s">
        <v>73</v>
      </c>
      <c r="BY56" t="s">
        <v>73</v>
      </c>
      <c r="CB56"/>
      <c r="CC56"/>
    </row>
    <row r="57" spans="1:81" ht="16" x14ac:dyDescent="0.2">
      <c r="A57" t="s">
        <v>135</v>
      </c>
      <c r="B57" t="s">
        <v>205</v>
      </c>
      <c r="C57" t="s">
        <v>206</v>
      </c>
      <c r="D57" s="1" t="s">
        <v>73</v>
      </c>
      <c r="E57" s="1" t="s">
        <v>72</v>
      </c>
      <c r="F57" s="1" t="s">
        <v>73</v>
      </c>
      <c r="G57" s="1" t="s">
        <v>73</v>
      </c>
      <c r="H57" s="1"/>
      <c r="I57" s="1">
        <v>6</v>
      </c>
      <c r="J57">
        <v>6</v>
      </c>
      <c r="L57">
        <v>4</v>
      </c>
      <c r="N57" s="1"/>
      <c r="O57" s="1"/>
      <c r="P57" s="1"/>
      <c r="Q57" s="1" t="s">
        <v>73</v>
      </c>
      <c r="R57" s="1" t="s">
        <v>73</v>
      </c>
      <c r="S57" s="1" t="s">
        <v>73</v>
      </c>
      <c r="T57" s="79"/>
      <c r="U57" s="79"/>
      <c r="V57" s="1"/>
      <c r="W57" s="1"/>
      <c r="X57" s="1"/>
      <c r="Y57" s="1"/>
      <c r="Z57" s="1" t="s">
        <v>73</v>
      </c>
      <c r="AA57" s="1" t="s">
        <v>73</v>
      </c>
      <c r="AC57" s="1"/>
      <c r="AE57" s="1"/>
      <c r="AF57" s="1"/>
      <c r="AK57" s="1" t="s">
        <v>73</v>
      </c>
      <c r="AL57" s="1" t="s">
        <v>72</v>
      </c>
      <c r="AM57">
        <v>6</v>
      </c>
      <c r="AN57" s="1" t="s">
        <v>72</v>
      </c>
      <c r="AO57">
        <v>6</v>
      </c>
      <c r="AP57" s="1" t="s">
        <v>73</v>
      </c>
      <c r="AR57" s="1" t="s">
        <v>72</v>
      </c>
      <c r="AS57">
        <v>6</v>
      </c>
      <c r="AT57" t="s">
        <v>72</v>
      </c>
      <c r="AU57">
        <v>2</v>
      </c>
      <c r="AW57" s="1">
        <v>100</v>
      </c>
      <c r="AX57" s="1">
        <v>8</v>
      </c>
      <c r="AY57" s="1" t="s">
        <v>72</v>
      </c>
      <c r="AZ57" s="1" t="s">
        <v>73</v>
      </c>
      <c r="BA57" s="126" t="s">
        <v>73</v>
      </c>
      <c r="BB57" s="1">
        <v>1859</v>
      </c>
      <c r="BC57" s="100">
        <v>45644.468113425923</v>
      </c>
      <c r="BD57" s="85">
        <v>45644.426446759258</v>
      </c>
      <c r="BE57" s="1" t="s">
        <v>73</v>
      </c>
      <c r="BF57" s="1" t="s">
        <v>73</v>
      </c>
      <c r="BG57" s="1" t="s">
        <v>73</v>
      </c>
      <c r="BH57" s="1" t="s">
        <v>73</v>
      </c>
      <c r="BI57" s="1" t="s">
        <v>73</v>
      </c>
      <c r="BJ57" s="1" t="s">
        <v>73</v>
      </c>
      <c r="BK57" s="1"/>
      <c r="BL57" s="1" t="s">
        <v>73</v>
      </c>
      <c r="BM57" s="1" t="s">
        <v>73</v>
      </c>
      <c r="BN57" s="1" t="s">
        <v>73</v>
      </c>
      <c r="BO57" s="1" t="s">
        <v>73</v>
      </c>
      <c r="BP57" s="1" t="s">
        <v>73</v>
      </c>
      <c r="BQ57" s="1" t="s">
        <v>73</v>
      </c>
      <c r="BR57" s="1"/>
      <c r="BS57" s="1" t="s">
        <v>73</v>
      </c>
      <c r="BT57" s="1" t="s">
        <v>73</v>
      </c>
      <c r="BU57" s="1" t="s">
        <v>73</v>
      </c>
      <c r="BV57" s="1" t="s">
        <v>73</v>
      </c>
      <c r="BW57" s="1"/>
      <c r="BX57" t="s">
        <v>73</v>
      </c>
      <c r="BY57" t="s">
        <v>73</v>
      </c>
      <c r="CB57"/>
      <c r="CC57"/>
    </row>
    <row r="58" spans="1:81" ht="16" x14ac:dyDescent="0.2">
      <c r="A58" t="s">
        <v>135</v>
      </c>
      <c r="B58" t="s">
        <v>212</v>
      </c>
      <c r="C58" t="s">
        <v>213</v>
      </c>
      <c r="D58" s="1" t="s">
        <v>73</v>
      </c>
      <c r="E58" s="1" t="s">
        <v>72</v>
      </c>
      <c r="F58" s="1" t="s">
        <v>72</v>
      </c>
      <c r="G58" s="1" t="s">
        <v>73</v>
      </c>
      <c r="H58" s="1"/>
      <c r="I58" s="1">
        <v>6</v>
      </c>
      <c r="N58" s="1"/>
      <c r="O58" s="1"/>
      <c r="P58" s="1"/>
      <c r="Q58" s="1" t="s">
        <v>73</v>
      </c>
      <c r="R58" s="1" t="s">
        <v>73</v>
      </c>
      <c r="S58" s="1" t="s">
        <v>73</v>
      </c>
      <c r="T58" s="79"/>
      <c r="U58" s="79"/>
      <c r="V58" s="1"/>
      <c r="W58" s="1"/>
      <c r="X58" s="1"/>
      <c r="Y58" s="1"/>
      <c r="Z58" s="1" t="s">
        <v>73</v>
      </c>
      <c r="AA58" s="1" t="s">
        <v>73</v>
      </c>
      <c r="AC58" s="1"/>
      <c r="AE58" s="1"/>
      <c r="AF58" s="1"/>
      <c r="AK58" s="1" t="s">
        <v>73</v>
      </c>
      <c r="AL58" s="1" t="s">
        <v>72</v>
      </c>
      <c r="AM58">
        <v>6</v>
      </c>
      <c r="AN58" s="1" t="s">
        <v>72</v>
      </c>
      <c r="AO58">
        <v>6</v>
      </c>
      <c r="AP58" s="1" t="s">
        <v>73</v>
      </c>
      <c r="AR58" s="1" t="s">
        <v>72</v>
      </c>
      <c r="AS58">
        <v>6</v>
      </c>
      <c r="AT58" t="s">
        <v>73</v>
      </c>
      <c r="AW58" s="1">
        <v>40</v>
      </c>
      <c r="AX58" s="1">
        <v>2</v>
      </c>
      <c r="AY58" s="1" t="s">
        <v>72</v>
      </c>
      <c r="AZ58" s="1" t="s">
        <v>73</v>
      </c>
      <c r="BA58" s="126" t="s">
        <v>73</v>
      </c>
      <c r="BB58" s="1">
        <v>1857</v>
      </c>
      <c r="BC58" s="100">
        <v>45643.901631944442</v>
      </c>
      <c r="BD58" s="85">
        <v>45643.859965277778</v>
      </c>
      <c r="BE58" s="1" t="s">
        <v>73</v>
      </c>
      <c r="BF58" s="1" t="s">
        <v>73</v>
      </c>
      <c r="BG58" s="1" t="s">
        <v>73</v>
      </c>
      <c r="BH58" s="1" t="s">
        <v>73</v>
      </c>
      <c r="BI58" s="1" t="s">
        <v>73</v>
      </c>
      <c r="BJ58" s="1" t="s">
        <v>73</v>
      </c>
      <c r="BK58" s="1"/>
      <c r="BL58" s="1" t="s">
        <v>73</v>
      </c>
      <c r="BM58" s="1" t="s">
        <v>73</v>
      </c>
      <c r="BN58" s="1" t="s">
        <v>73</v>
      </c>
      <c r="BO58" s="1" t="s">
        <v>73</v>
      </c>
      <c r="BP58" s="1" t="s">
        <v>73</v>
      </c>
      <c r="BQ58" s="1" t="s">
        <v>73</v>
      </c>
      <c r="BR58" s="1"/>
      <c r="BS58" s="1" t="s">
        <v>73</v>
      </c>
      <c r="BT58" s="1" t="s">
        <v>73</v>
      </c>
      <c r="BU58" s="1" t="s">
        <v>73</v>
      </c>
      <c r="BV58" s="1" t="s">
        <v>73</v>
      </c>
      <c r="BW58" s="1"/>
      <c r="BX58" t="s">
        <v>73</v>
      </c>
      <c r="BY58" t="s">
        <v>73</v>
      </c>
      <c r="CB58"/>
      <c r="CC58"/>
    </row>
    <row r="59" spans="1:81" ht="80" x14ac:dyDescent="0.2">
      <c r="A59" t="s">
        <v>135</v>
      </c>
      <c r="B59" t="s">
        <v>207</v>
      </c>
      <c r="C59" t="s">
        <v>236</v>
      </c>
      <c r="D59" s="1" t="s">
        <v>73</v>
      </c>
      <c r="E59" s="1" t="s">
        <v>72</v>
      </c>
      <c r="F59" s="1" t="s">
        <v>72</v>
      </c>
      <c r="G59" s="1" t="s">
        <v>73</v>
      </c>
      <c r="H59" s="1"/>
      <c r="I59" s="1"/>
      <c r="N59" s="1"/>
      <c r="O59" s="1"/>
      <c r="P59" s="1"/>
      <c r="Q59" s="1" t="s">
        <v>73</v>
      </c>
      <c r="R59" s="1" t="s">
        <v>73</v>
      </c>
      <c r="S59" s="1" t="s">
        <v>73</v>
      </c>
      <c r="T59" s="79"/>
      <c r="U59" s="79"/>
      <c r="V59" s="1"/>
      <c r="W59" s="1"/>
      <c r="X59" s="1"/>
      <c r="Y59" s="1"/>
      <c r="Z59" s="1" t="s">
        <v>73</v>
      </c>
      <c r="AA59" s="1" t="s">
        <v>73</v>
      </c>
      <c r="AC59" s="1"/>
      <c r="AE59" s="1"/>
      <c r="AF59" s="1"/>
      <c r="AK59" s="1" t="s">
        <v>73</v>
      </c>
      <c r="AL59" s="1" t="s">
        <v>73</v>
      </c>
      <c r="AN59" s="1" t="s">
        <v>73</v>
      </c>
      <c r="AP59" s="1" t="s">
        <v>73</v>
      </c>
      <c r="AR59" s="1" t="s">
        <v>73</v>
      </c>
      <c r="AT59" t="s">
        <v>73</v>
      </c>
      <c r="AW59" s="1">
        <v>76</v>
      </c>
      <c r="AX59" s="1">
        <v>21</v>
      </c>
      <c r="AY59" s="1" t="s">
        <v>73</v>
      </c>
      <c r="AZ59" s="1" t="s">
        <v>73</v>
      </c>
      <c r="BA59" s="126" t="s">
        <v>214</v>
      </c>
      <c r="BB59" s="1">
        <v>1855</v>
      </c>
      <c r="BC59" s="100">
        <v>45643.499814814815</v>
      </c>
      <c r="BD59" s="85">
        <v>45646.44494212963</v>
      </c>
      <c r="BE59" s="1" t="s">
        <v>73</v>
      </c>
      <c r="BF59" s="1" t="s">
        <v>73</v>
      </c>
      <c r="BG59" s="1" t="s">
        <v>73</v>
      </c>
      <c r="BH59" s="1" t="s">
        <v>73</v>
      </c>
      <c r="BI59" s="1" t="s">
        <v>73</v>
      </c>
      <c r="BJ59" s="1" t="s">
        <v>73</v>
      </c>
      <c r="BK59" s="1"/>
      <c r="BL59" s="1" t="s">
        <v>73</v>
      </c>
      <c r="BM59" s="1" t="s">
        <v>73</v>
      </c>
      <c r="BN59" s="1" t="s">
        <v>73</v>
      </c>
      <c r="BO59" s="1" t="s">
        <v>73</v>
      </c>
      <c r="BP59" s="1" t="s">
        <v>73</v>
      </c>
      <c r="BQ59" s="1" t="s">
        <v>73</v>
      </c>
      <c r="BR59" s="1"/>
      <c r="BS59" s="1" t="s">
        <v>73</v>
      </c>
      <c r="BT59" s="1" t="s">
        <v>73</v>
      </c>
      <c r="BU59" s="1" t="s">
        <v>73</v>
      </c>
      <c r="BV59" s="1" t="s">
        <v>73</v>
      </c>
      <c r="BW59" s="1"/>
      <c r="BX59" t="s">
        <v>73</v>
      </c>
      <c r="BY59" t="s">
        <v>73</v>
      </c>
      <c r="CB59"/>
      <c r="CC59"/>
    </row>
    <row r="60" spans="1:81" ht="208" x14ac:dyDescent="0.2">
      <c r="A60" t="s">
        <v>135</v>
      </c>
      <c r="B60" t="s">
        <v>175</v>
      </c>
      <c r="C60" t="s">
        <v>155</v>
      </c>
      <c r="D60" s="1" t="s">
        <v>73</v>
      </c>
      <c r="E60" s="1" t="s">
        <v>72</v>
      </c>
      <c r="F60" s="1" t="s">
        <v>73</v>
      </c>
      <c r="G60" s="1" t="s">
        <v>73</v>
      </c>
      <c r="H60" s="1"/>
      <c r="I60" s="1">
        <v>8</v>
      </c>
      <c r="N60" s="1"/>
      <c r="O60" s="1"/>
      <c r="P60" s="1"/>
      <c r="Q60" s="1" t="s">
        <v>73</v>
      </c>
      <c r="R60" s="1" t="s">
        <v>73</v>
      </c>
      <c r="S60" s="1" t="s">
        <v>73</v>
      </c>
      <c r="T60" s="79"/>
      <c r="U60" s="79"/>
      <c r="V60" s="1"/>
      <c r="W60" s="1"/>
      <c r="X60" s="1"/>
      <c r="Y60" s="1"/>
      <c r="Z60" s="1" t="s">
        <v>73</v>
      </c>
      <c r="AA60" s="1" t="s">
        <v>73</v>
      </c>
      <c r="AC60" s="1"/>
      <c r="AE60" s="1"/>
      <c r="AF60" s="1"/>
      <c r="AK60" s="1" t="s">
        <v>73</v>
      </c>
      <c r="AL60" s="1" t="s">
        <v>73</v>
      </c>
      <c r="AN60" s="1" t="s">
        <v>73</v>
      </c>
      <c r="AP60" s="1" t="s">
        <v>73</v>
      </c>
      <c r="AR60" s="1" t="s">
        <v>73</v>
      </c>
      <c r="AT60" t="s">
        <v>73</v>
      </c>
      <c r="AW60" s="1">
        <v>12</v>
      </c>
      <c r="AX60" s="1">
        <v>0</v>
      </c>
      <c r="AY60" s="1" t="s">
        <v>73</v>
      </c>
      <c r="AZ60" s="1" t="s">
        <v>73</v>
      </c>
      <c r="BA60" s="126" t="s">
        <v>156</v>
      </c>
      <c r="BB60" s="1">
        <v>1821</v>
      </c>
      <c r="BC60" s="100">
        <v>45635.785624999997</v>
      </c>
      <c r="BD60" s="85">
        <v>45635.750081018516</v>
      </c>
      <c r="BE60" s="1" t="s">
        <v>73</v>
      </c>
      <c r="BF60" s="1" t="s">
        <v>73</v>
      </c>
      <c r="BG60" s="1" t="s">
        <v>73</v>
      </c>
      <c r="BH60" s="1" t="s">
        <v>73</v>
      </c>
      <c r="BI60" s="1" t="s">
        <v>73</v>
      </c>
      <c r="BJ60" s="1" t="s">
        <v>73</v>
      </c>
      <c r="BK60" s="1"/>
      <c r="BL60" s="1" t="s">
        <v>73</v>
      </c>
      <c r="BM60" s="1" t="s">
        <v>73</v>
      </c>
      <c r="BN60" s="1" t="s">
        <v>73</v>
      </c>
      <c r="BO60" s="1" t="s">
        <v>73</v>
      </c>
      <c r="BP60" s="1" t="s">
        <v>73</v>
      </c>
      <c r="BQ60" s="1" t="s">
        <v>73</v>
      </c>
      <c r="BR60" s="1"/>
      <c r="BS60" s="1" t="s">
        <v>73</v>
      </c>
      <c r="BT60" s="1" t="s">
        <v>73</v>
      </c>
      <c r="BU60" s="1" t="s">
        <v>73</v>
      </c>
      <c r="BV60" s="1" t="s">
        <v>73</v>
      </c>
      <c r="BW60" s="1"/>
      <c r="BX60" t="s">
        <v>73</v>
      </c>
      <c r="BY60" t="s">
        <v>73</v>
      </c>
      <c r="CB60"/>
      <c r="CC60"/>
    </row>
    <row r="61" spans="1:81" ht="16" x14ac:dyDescent="0.2">
      <c r="A61" t="s">
        <v>135</v>
      </c>
      <c r="B61" t="s">
        <v>176</v>
      </c>
      <c r="C61" t="s">
        <v>149</v>
      </c>
      <c r="D61" s="1" t="s">
        <v>73</v>
      </c>
      <c r="E61" s="1" t="s">
        <v>72</v>
      </c>
      <c r="F61" s="1" t="s">
        <v>73</v>
      </c>
      <c r="G61" s="1" t="s">
        <v>73</v>
      </c>
      <c r="H61" s="1"/>
      <c r="I61" s="1">
        <v>6</v>
      </c>
      <c r="N61" s="1"/>
      <c r="O61" s="1"/>
      <c r="P61" s="1"/>
      <c r="Q61" s="1" t="s">
        <v>73</v>
      </c>
      <c r="R61" s="1" t="s">
        <v>73</v>
      </c>
      <c r="S61" s="1" t="s">
        <v>73</v>
      </c>
      <c r="T61" s="79"/>
      <c r="U61" s="79"/>
      <c r="V61" s="1"/>
      <c r="W61" s="1"/>
      <c r="X61" s="1"/>
      <c r="Y61" s="1"/>
      <c r="Z61" s="1" t="s">
        <v>73</v>
      </c>
      <c r="AA61" s="1" t="s">
        <v>73</v>
      </c>
      <c r="AC61" s="1"/>
      <c r="AE61" s="1"/>
      <c r="AF61" s="1"/>
      <c r="AK61" s="1" t="s">
        <v>73</v>
      </c>
      <c r="AL61" s="1" t="s">
        <v>72</v>
      </c>
      <c r="AM61">
        <v>4</v>
      </c>
      <c r="AN61" s="1" t="s">
        <v>73</v>
      </c>
      <c r="AP61" s="1" t="s">
        <v>73</v>
      </c>
      <c r="AR61" s="1" t="s">
        <v>73</v>
      </c>
      <c r="AT61" t="s">
        <v>73</v>
      </c>
      <c r="AW61" s="1">
        <v>35</v>
      </c>
      <c r="AX61" s="1">
        <v>2</v>
      </c>
      <c r="AY61" s="1" t="s">
        <v>73</v>
      </c>
      <c r="AZ61" s="1" t="s">
        <v>73</v>
      </c>
      <c r="BA61" s="126" t="s">
        <v>73</v>
      </c>
      <c r="BB61" s="1">
        <v>1815</v>
      </c>
      <c r="BC61" s="100">
        <v>45634.680821759262</v>
      </c>
      <c r="BD61" s="85">
        <v>45634.639155092591</v>
      </c>
      <c r="BE61" s="1" t="s">
        <v>73</v>
      </c>
      <c r="BF61" s="1" t="s">
        <v>73</v>
      </c>
      <c r="BG61" s="1" t="s">
        <v>73</v>
      </c>
      <c r="BH61" s="1" t="s">
        <v>73</v>
      </c>
      <c r="BI61" s="1" t="s">
        <v>73</v>
      </c>
      <c r="BJ61" s="1" t="s">
        <v>73</v>
      </c>
      <c r="BK61" s="1"/>
      <c r="BL61" s="1" t="s">
        <v>73</v>
      </c>
      <c r="BM61" s="1" t="s">
        <v>73</v>
      </c>
      <c r="BN61" s="1" t="s">
        <v>73</v>
      </c>
      <c r="BO61" s="1" t="s">
        <v>73</v>
      </c>
      <c r="BP61" s="1" t="s">
        <v>73</v>
      </c>
      <c r="BQ61" s="1" t="s">
        <v>73</v>
      </c>
      <c r="BR61" s="1"/>
      <c r="BS61" s="1" t="s">
        <v>73</v>
      </c>
      <c r="BT61" s="1" t="s">
        <v>73</v>
      </c>
      <c r="BU61" s="1" t="s">
        <v>73</v>
      </c>
      <c r="BV61" s="1" t="s">
        <v>73</v>
      </c>
      <c r="BW61" s="1"/>
      <c r="BX61" t="s">
        <v>73</v>
      </c>
      <c r="BY61" t="s">
        <v>73</v>
      </c>
      <c r="CB61"/>
      <c r="CC61"/>
    </row>
    <row r="62" spans="1:81" ht="16" x14ac:dyDescent="0.2">
      <c r="A62" t="s">
        <v>135</v>
      </c>
      <c r="B62" t="s">
        <v>177</v>
      </c>
      <c r="C62" t="s">
        <v>148</v>
      </c>
      <c r="D62" s="1" t="s">
        <v>73</v>
      </c>
      <c r="E62" s="1" t="s">
        <v>72</v>
      </c>
      <c r="F62" s="1" t="s">
        <v>72</v>
      </c>
      <c r="G62" s="1" t="s">
        <v>73</v>
      </c>
      <c r="H62" s="1"/>
      <c r="I62" s="1">
        <v>4</v>
      </c>
      <c r="L62">
        <v>3</v>
      </c>
      <c r="N62" s="1"/>
      <c r="O62" s="1"/>
      <c r="P62" s="1"/>
      <c r="Q62" s="1" t="s">
        <v>73</v>
      </c>
      <c r="R62" s="1" t="s">
        <v>73</v>
      </c>
      <c r="S62" s="1" t="s">
        <v>73</v>
      </c>
      <c r="T62" s="79"/>
      <c r="U62" s="79"/>
      <c r="V62" s="1"/>
      <c r="W62" s="1"/>
      <c r="X62" s="1"/>
      <c r="Y62" s="1"/>
      <c r="Z62" s="1" t="s">
        <v>73</v>
      </c>
      <c r="AA62" s="1" t="s">
        <v>73</v>
      </c>
      <c r="AC62" s="1"/>
      <c r="AE62" s="1"/>
      <c r="AF62" s="1"/>
      <c r="AK62" s="1" t="s">
        <v>73</v>
      </c>
      <c r="AL62" s="1" t="s">
        <v>72</v>
      </c>
      <c r="AM62">
        <v>4</v>
      </c>
      <c r="AN62" s="1" t="s">
        <v>72</v>
      </c>
      <c r="AO62">
        <v>4</v>
      </c>
      <c r="AP62" s="1" t="s">
        <v>73</v>
      </c>
      <c r="AR62" s="1" t="s">
        <v>72</v>
      </c>
      <c r="AS62">
        <v>4</v>
      </c>
      <c r="AT62" t="s">
        <v>73</v>
      </c>
      <c r="AW62" s="1">
        <v>50</v>
      </c>
      <c r="AX62" s="1">
        <v>3</v>
      </c>
      <c r="AY62" s="1" t="s">
        <v>73</v>
      </c>
      <c r="AZ62" s="1" t="s">
        <v>73</v>
      </c>
      <c r="BA62" s="126" t="s">
        <v>73</v>
      </c>
      <c r="BB62" s="1">
        <v>1814</v>
      </c>
      <c r="BC62" s="100">
        <v>45631.918958333335</v>
      </c>
      <c r="BD62" s="85">
        <v>45631.877291666664</v>
      </c>
      <c r="BE62" s="1" t="s">
        <v>73</v>
      </c>
      <c r="BF62" s="1" t="s">
        <v>73</v>
      </c>
      <c r="BG62" s="1" t="s">
        <v>73</v>
      </c>
      <c r="BH62" s="1" t="s">
        <v>73</v>
      </c>
      <c r="BI62" s="1" t="s">
        <v>73</v>
      </c>
      <c r="BJ62" s="1" t="s">
        <v>73</v>
      </c>
      <c r="BK62" s="1"/>
      <c r="BL62" s="1" t="s">
        <v>73</v>
      </c>
      <c r="BM62" s="1" t="s">
        <v>73</v>
      </c>
      <c r="BN62" s="1" t="s">
        <v>73</v>
      </c>
      <c r="BO62" s="1" t="s">
        <v>73</v>
      </c>
      <c r="BP62" s="1" t="s">
        <v>73</v>
      </c>
      <c r="BQ62" s="1" t="s">
        <v>73</v>
      </c>
      <c r="BR62" s="1"/>
      <c r="BS62" s="1" t="s">
        <v>73</v>
      </c>
      <c r="BT62" s="1" t="s">
        <v>73</v>
      </c>
      <c r="BU62" s="1" t="s">
        <v>73</v>
      </c>
      <c r="BV62" s="1" t="s">
        <v>73</v>
      </c>
      <c r="BW62" s="1"/>
      <c r="BX62" t="s">
        <v>73</v>
      </c>
      <c r="BY62" t="s">
        <v>73</v>
      </c>
      <c r="CB62"/>
      <c r="CC62"/>
    </row>
    <row r="63" spans="1:81" ht="16" x14ac:dyDescent="0.2">
      <c r="A63" t="s">
        <v>135</v>
      </c>
      <c r="B63" t="s">
        <v>178</v>
      </c>
      <c r="C63" t="s">
        <v>132</v>
      </c>
      <c r="D63" s="1" t="s">
        <v>73</v>
      </c>
      <c r="E63" s="1" t="s">
        <v>72</v>
      </c>
      <c r="F63" s="1" t="s">
        <v>72</v>
      </c>
      <c r="G63" s="1" t="s">
        <v>73</v>
      </c>
      <c r="H63" s="1"/>
      <c r="I63" s="1"/>
      <c r="N63" s="1"/>
      <c r="O63" s="1"/>
      <c r="P63" s="1"/>
      <c r="Q63" s="1" t="s">
        <v>73</v>
      </c>
      <c r="R63" s="1" t="s">
        <v>73</v>
      </c>
      <c r="S63" s="1" t="s">
        <v>73</v>
      </c>
      <c r="T63" s="79"/>
      <c r="U63" s="79"/>
      <c r="V63" s="1"/>
      <c r="W63" s="1"/>
      <c r="X63" s="1"/>
      <c r="Y63" s="1"/>
      <c r="Z63" s="1" t="s">
        <v>73</v>
      </c>
      <c r="AA63" s="1" t="s">
        <v>73</v>
      </c>
      <c r="AC63" s="1"/>
      <c r="AE63" s="1"/>
      <c r="AF63" s="1"/>
      <c r="AK63" s="1" t="s">
        <v>73</v>
      </c>
      <c r="AL63" s="1" t="s">
        <v>72</v>
      </c>
      <c r="AM63">
        <v>6</v>
      </c>
      <c r="AN63" s="1" t="s">
        <v>72</v>
      </c>
      <c r="AO63">
        <v>6</v>
      </c>
      <c r="AP63" s="1" t="s">
        <v>72</v>
      </c>
      <c r="AQ63">
        <v>6</v>
      </c>
      <c r="AR63" s="1" t="s">
        <v>72</v>
      </c>
      <c r="AS63">
        <v>6</v>
      </c>
      <c r="AT63" t="s">
        <v>72</v>
      </c>
      <c r="AU63">
        <v>1</v>
      </c>
      <c r="AV63">
        <v>1</v>
      </c>
      <c r="AW63" s="1">
        <v>25</v>
      </c>
      <c r="AX63" s="1">
        <v>3</v>
      </c>
      <c r="AY63" s="1" t="s">
        <v>73</v>
      </c>
      <c r="AZ63" s="1" t="s">
        <v>73</v>
      </c>
      <c r="BA63" s="126" t="s">
        <v>73</v>
      </c>
      <c r="BB63" s="1">
        <v>1807</v>
      </c>
      <c r="BC63" s="100">
        <v>45619.272326388891</v>
      </c>
      <c r="BD63" s="85">
        <v>45631.710601851853</v>
      </c>
      <c r="BE63" s="1" t="s">
        <v>73</v>
      </c>
      <c r="BF63" s="1" t="s">
        <v>73</v>
      </c>
      <c r="BG63" s="1" t="s">
        <v>73</v>
      </c>
      <c r="BH63" s="1" t="s">
        <v>73</v>
      </c>
      <c r="BI63" s="1" t="s">
        <v>73</v>
      </c>
      <c r="BJ63" s="1" t="s">
        <v>73</v>
      </c>
      <c r="BK63" s="1"/>
      <c r="BL63" s="1" t="s">
        <v>73</v>
      </c>
      <c r="BM63" s="1" t="s">
        <v>73</v>
      </c>
      <c r="BN63" s="1" t="s">
        <v>73</v>
      </c>
      <c r="BO63" s="1" t="s">
        <v>73</v>
      </c>
      <c r="BP63" s="1" t="s">
        <v>73</v>
      </c>
      <c r="BQ63" s="1" t="s">
        <v>73</v>
      </c>
      <c r="BR63" s="1"/>
      <c r="BS63" s="1" t="s">
        <v>73</v>
      </c>
      <c r="BT63" s="1" t="s">
        <v>73</v>
      </c>
      <c r="BU63" s="1" t="s">
        <v>73</v>
      </c>
      <c r="BV63" s="1" t="s">
        <v>73</v>
      </c>
      <c r="BW63" s="1"/>
      <c r="BX63" t="s">
        <v>73</v>
      </c>
      <c r="BY63" t="s">
        <v>73</v>
      </c>
      <c r="CB63"/>
      <c r="CC63"/>
    </row>
    <row r="64" spans="1:81" ht="112" x14ac:dyDescent="0.2">
      <c r="A64" t="s">
        <v>136</v>
      </c>
      <c r="B64" t="s">
        <v>359</v>
      </c>
      <c r="C64" t="s">
        <v>360</v>
      </c>
      <c r="D64" s="1" t="s">
        <v>73</v>
      </c>
      <c r="E64" s="1" t="s">
        <v>72</v>
      </c>
      <c r="F64" s="1" t="s">
        <v>72</v>
      </c>
      <c r="G64" s="1" t="s">
        <v>73</v>
      </c>
      <c r="H64" s="1"/>
      <c r="I64" s="1"/>
      <c r="J64">
        <v>1</v>
      </c>
      <c r="N64" s="1"/>
      <c r="O64" s="1"/>
      <c r="P64" s="1"/>
      <c r="Q64" s="1" t="s">
        <v>73</v>
      </c>
      <c r="R64" s="1" t="s">
        <v>73</v>
      </c>
      <c r="S64" s="1" t="s">
        <v>73</v>
      </c>
      <c r="T64" s="79"/>
      <c r="U64" s="79"/>
      <c r="V64" s="1"/>
      <c r="W64" s="1"/>
      <c r="X64" s="1"/>
      <c r="Y64" s="1"/>
      <c r="Z64" s="1" t="s">
        <v>73</v>
      </c>
      <c r="AA64" s="1" t="s">
        <v>73</v>
      </c>
      <c r="AC64" s="1"/>
      <c r="AE64" s="1"/>
      <c r="AF64" s="1"/>
      <c r="AK64" s="1" t="s">
        <v>72</v>
      </c>
      <c r="AL64" s="1" t="s">
        <v>72</v>
      </c>
      <c r="AM64">
        <v>6</v>
      </c>
      <c r="AN64" s="1" t="s">
        <v>73</v>
      </c>
      <c r="AP64" s="1" t="s">
        <v>73</v>
      </c>
      <c r="AR64" s="1" t="s">
        <v>72</v>
      </c>
      <c r="AS64">
        <v>6</v>
      </c>
      <c r="AT64" t="s">
        <v>72</v>
      </c>
      <c r="AU64">
        <v>1</v>
      </c>
      <c r="AW64" s="1">
        <v>25</v>
      </c>
      <c r="AX64" s="1">
        <v>6</v>
      </c>
      <c r="AY64" s="1" t="s">
        <v>73</v>
      </c>
      <c r="AZ64" s="1" t="s">
        <v>73</v>
      </c>
      <c r="BA64" s="126" t="s">
        <v>361</v>
      </c>
      <c r="BB64" s="1">
        <v>1981</v>
      </c>
      <c r="BC64" s="100">
        <v>45656.850648148145</v>
      </c>
      <c r="BD64" s="85">
        <v>45656.808981481481</v>
      </c>
      <c r="BE64" s="1" t="s">
        <v>73</v>
      </c>
      <c r="BF64" s="1" t="s">
        <v>73</v>
      </c>
      <c r="BG64" s="1" t="s">
        <v>73</v>
      </c>
      <c r="BH64" s="1" t="s">
        <v>73</v>
      </c>
      <c r="BI64" s="1" t="s">
        <v>73</v>
      </c>
      <c r="BJ64" s="1" t="s">
        <v>73</v>
      </c>
      <c r="BK64" s="1"/>
      <c r="BL64" s="1" t="s">
        <v>73</v>
      </c>
      <c r="BM64" s="1" t="s">
        <v>73</v>
      </c>
      <c r="BN64" s="1" t="s">
        <v>73</v>
      </c>
      <c r="BO64" s="1" t="s">
        <v>73</v>
      </c>
      <c r="BP64" s="1" t="s">
        <v>73</v>
      </c>
      <c r="BQ64" s="1" t="s">
        <v>73</v>
      </c>
      <c r="BR64" s="1"/>
      <c r="BS64" s="1" t="s">
        <v>73</v>
      </c>
      <c r="BT64" s="1" t="s">
        <v>73</v>
      </c>
      <c r="BU64" s="1" t="s">
        <v>73</v>
      </c>
      <c r="BV64" s="1" t="s">
        <v>73</v>
      </c>
      <c r="BW64" s="1"/>
      <c r="CB64"/>
      <c r="CC64"/>
    </row>
    <row r="65" spans="1:81" ht="16" x14ac:dyDescent="0.2">
      <c r="A65" t="s">
        <v>136</v>
      </c>
      <c r="B65" t="s">
        <v>345</v>
      </c>
      <c r="C65" t="s">
        <v>346</v>
      </c>
      <c r="D65" s="1" t="s">
        <v>73</v>
      </c>
      <c r="E65" s="1" t="s">
        <v>72</v>
      </c>
      <c r="F65" s="1" t="s">
        <v>73</v>
      </c>
      <c r="G65" s="1" t="s">
        <v>73</v>
      </c>
      <c r="H65" s="1"/>
      <c r="I65" s="1">
        <v>10</v>
      </c>
      <c r="L65">
        <v>4</v>
      </c>
      <c r="N65" s="1"/>
      <c r="O65" s="1"/>
      <c r="P65" s="1"/>
      <c r="Q65" s="1" t="s">
        <v>73</v>
      </c>
      <c r="R65" s="1" t="s">
        <v>73</v>
      </c>
      <c r="S65" s="1" t="s">
        <v>73</v>
      </c>
      <c r="T65" s="79">
        <v>1</v>
      </c>
      <c r="U65" s="79"/>
      <c r="V65" s="1"/>
      <c r="W65" s="1">
        <v>1</v>
      </c>
      <c r="X65" s="1"/>
      <c r="Y65" s="1"/>
      <c r="Z65" s="1" t="s">
        <v>73</v>
      </c>
      <c r="AA65" s="1" t="s">
        <v>73</v>
      </c>
      <c r="AC65" s="1">
        <v>4</v>
      </c>
      <c r="AE65" s="1"/>
      <c r="AF65" s="1"/>
      <c r="AG65">
        <v>4</v>
      </c>
      <c r="AK65" s="1" t="s">
        <v>72</v>
      </c>
      <c r="AL65" s="1" t="s">
        <v>72</v>
      </c>
      <c r="AM65">
        <v>6</v>
      </c>
      <c r="AN65" s="1" t="s">
        <v>72</v>
      </c>
      <c r="AO65">
        <v>6</v>
      </c>
      <c r="AP65" s="1" t="s">
        <v>73</v>
      </c>
      <c r="AR65" s="1" t="s">
        <v>72</v>
      </c>
      <c r="AS65">
        <v>6</v>
      </c>
      <c r="AT65" t="s">
        <v>72</v>
      </c>
      <c r="AU65">
        <v>1</v>
      </c>
      <c r="AV65">
        <v>1</v>
      </c>
      <c r="AW65" s="1">
        <v>65</v>
      </c>
      <c r="AX65" s="1">
        <v>12</v>
      </c>
      <c r="AY65" s="1" t="s">
        <v>72</v>
      </c>
      <c r="AZ65" s="1" t="s">
        <v>73</v>
      </c>
      <c r="BA65" s="126" t="s">
        <v>73</v>
      </c>
      <c r="BB65" s="1">
        <v>1974</v>
      </c>
      <c r="BC65" s="100">
        <v>45656.486018518517</v>
      </c>
      <c r="BD65" s="85">
        <v>45656.444351851853</v>
      </c>
      <c r="BE65" s="1" t="s">
        <v>73</v>
      </c>
      <c r="BF65" s="1" t="s">
        <v>73</v>
      </c>
      <c r="BG65" s="1" t="s">
        <v>73</v>
      </c>
      <c r="BH65" s="1" t="s">
        <v>73</v>
      </c>
      <c r="BI65" s="1" t="s">
        <v>73</v>
      </c>
      <c r="BJ65" s="1" t="s">
        <v>73</v>
      </c>
      <c r="BK65" s="1"/>
      <c r="BL65" s="1" t="s">
        <v>73</v>
      </c>
      <c r="BM65" s="1" t="s">
        <v>73</v>
      </c>
      <c r="BN65" s="1" t="s">
        <v>73</v>
      </c>
      <c r="BO65" s="1" t="s">
        <v>73</v>
      </c>
      <c r="BP65" s="1" t="s">
        <v>73</v>
      </c>
      <c r="BQ65" s="1" t="s">
        <v>73</v>
      </c>
      <c r="BR65" s="1"/>
      <c r="BS65" s="1" t="s">
        <v>73</v>
      </c>
      <c r="BT65" s="1" t="s">
        <v>73</v>
      </c>
      <c r="BU65" s="1" t="s">
        <v>73</v>
      </c>
      <c r="BV65" s="1" t="s">
        <v>73</v>
      </c>
      <c r="BW65" s="1"/>
      <c r="CB65"/>
      <c r="CC65"/>
    </row>
    <row r="66" spans="1:81" ht="16" x14ac:dyDescent="0.2">
      <c r="A66" t="s">
        <v>136</v>
      </c>
      <c r="B66" t="s">
        <v>309</v>
      </c>
      <c r="C66" t="s">
        <v>310</v>
      </c>
      <c r="D66" s="1" t="s">
        <v>73</v>
      </c>
      <c r="E66" s="1" t="s">
        <v>72</v>
      </c>
      <c r="F66" s="1" t="s">
        <v>72</v>
      </c>
      <c r="G66" s="1" t="s">
        <v>73</v>
      </c>
      <c r="H66" s="1"/>
      <c r="I66" s="1">
        <v>14</v>
      </c>
      <c r="J66">
        <v>3</v>
      </c>
      <c r="N66" s="1">
        <v>4</v>
      </c>
      <c r="O66" s="1">
        <v>3</v>
      </c>
      <c r="P66" s="1"/>
      <c r="Q66" s="1" t="s">
        <v>73</v>
      </c>
      <c r="R66" s="1" t="s">
        <v>73</v>
      </c>
      <c r="S66" s="1" t="s">
        <v>73</v>
      </c>
      <c r="T66" s="79">
        <v>3</v>
      </c>
      <c r="U66" s="79">
        <v>2</v>
      </c>
      <c r="V66" s="1"/>
      <c r="W66" s="1">
        <v>2</v>
      </c>
      <c r="X66" s="1">
        <v>2</v>
      </c>
      <c r="Y66" s="1">
        <v>1</v>
      </c>
      <c r="Z66" s="1" t="s">
        <v>73</v>
      </c>
      <c r="AA66" s="1" t="s">
        <v>73</v>
      </c>
      <c r="AC66" s="1">
        <v>2</v>
      </c>
      <c r="AD66">
        <v>1</v>
      </c>
      <c r="AE66" s="1">
        <v>1</v>
      </c>
      <c r="AF66" s="1"/>
      <c r="AG66">
        <v>2</v>
      </c>
      <c r="AH66">
        <v>1</v>
      </c>
      <c r="AI66">
        <v>1</v>
      </c>
      <c r="AK66" s="1" t="s">
        <v>73</v>
      </c>
      <c r="AL66" s="1" t="s">
        <v>72</v>
      </c>
      <c r="AM66">
        <v>4</v>
      </c>
      <c r="AN66" s="1" t="s">
        <v>72</v>
      </c>
      <c r="AO66">
        <v>4</v>
      </c>
      <c r="AP66" s="1" t="s">
        <v>73</v>
      </c>
      <c r="AR66" s="1" t="s">
        <v>72</v>
      </c>
      <c r="AS66">
        <v>4</v>
      </c>
      <c r="AT66" t="s">
        <v>72</v>
      </c>
      <c r="AU66">
        <v>2</v>
      </c>
      <c r="AW66" s="1">
        <v>50</v>
      </c>
      <c r="AX66" s="1">
        <v>5</v>
      </c>
      <c r="AY66" s="1" t="s">
        <v>72</v>
      </c>
      <c r="AZ66" s="1" t="s">
        <v>73</v>
      </c>
      <c r="BA66" s="126" t="s">
        <v>73</v>
      </c>
      <c r="BB66" s="1">
        <v>1947</v>
      </c>
      <c r="BC66" s="100">
        <v>45653.784594907411</v>
      </c>
      <c r="BD66" s="85">
        <v>45653.742928240739</v>
      </c>
      <c r="BE66" s="1" t="s">
        <v>73</v>
      </c>
      <c r="BF66" s="1" t="s">
        <v>73</v>
      </c>
      <c r="BG66" s="1" t="s">
        <v>73</v>
      </c>
      <c r="BH66" s="1" t="s">
        <v>73</v>
      </c>
      <c r="BI66" s="1" t="s">
        <v>73</v>
      </c>
      <c r="BJ66" s="1" t="s">
        <v>73</v>
      </c>
      <c r="BK66" s="1"/>
      <c r="BL66" s="1" t="s">
        <v>73</v>
      </c>
      <c r="BM66" s="1" t="s">
        <v>73</v>
      </c>
      <c r="BN66" s="1" t="s">
        <v>73</v>
      </c>
      <c r="BO66" s="1" t="s">
        <v>73</v>
      </c>
      <c r="BP66" s="1" t="s">
        <v>73</v>
      </c>
      <c r="BQ66" s="1" t="s">
        <v>73</v>
      </c>
      <c r="BR66" s="1"/>
      <c r="BS66" s="1" t="s">
        <v>73</v>
      </c>
      <c r="BT66" s="1" t="s">
        <v>73</v>
      </c>
      <c r="BU66" s="1" t="s">
        <v>73</v>
      </c>
      <c r="BV66" s="1" t="s">
        <v>73</v>
      </c>
      <c r="BW66" s="1"/>
      <c r="CB66"/>
      <c r="CC66"/>
    </row>
    <row r="67" spans="1:81" ht="16" x14ac:dyDescent="0.2">
      <c r="A67" t="s">
        <v>136</v>
      </c>
      <c r="B67" t="s">
        <v>299</v>
      </c>
      <c r="C67" t="s">
        <v>300</v>
      </c>
      <c r="D67" s="1" t="s">
        <v>73</v>
      </c>
      <c r="E67" s="1" t="s">
        <v>72</v>
      </c>
      <c r="F67" s="1" t="s">
        <v>72</v>
      </c>
      <c r="G67" s="1" t="s">
        <v>73</v>
      </c>
      <c r="H67" s="1"/>
      <c r="I67" s="1"/>
      <c r="N67" s="1"/>
      <c r="O67" s="1"/>
      <c r="P67" s="1"/>
      <c r="Q67" s="1" t="s">
        <v>73</v>
      </c>
      <c r="R67" s="1" t="s">
        <v>73</v>
      </c>
      <c r="S67" s="1" t="s">
        <v>73</v>
      </c>
      <c r="T67" s="79"/>
      <c r="U67" s="79"/>
      <c r="V67" s="1"/>
      <c r="W67" s="1"/>
      <c r="X67" s="1"/>
      <c r="Y67" s="1"/>
      <c r="Z67" s="1" t="s">
        <v>72</v>
      </c>
      <c r="AA67" s="1" t="s">
        <v>73</v>
      </c>
      <c r="AC67" s="1"/>
      <c r="AE67" s="1"/>
      <c r="AF67" s="1"/>
      <c r="AK67" s="1" t="s">
        <v>73</v>
      </c>
      <c r="AL67" s="1" t="s">
        <v>73</v>
      </c>
      <c r="AN67" s="1" t="s">
        <v>73</v>
      </c>
      <c r="AP67" s="1" t="s">
        <v>73</v>
      </c>
      <c r="AR67" s="1" t="s">
        <v>73</v>
      </c>
      <c r="AT67" t="s">
        <v>73</v>
      </c>
      <c r="AW67" s="1">
        <v>30</v>
      </c>
      <c r="AX67" s="1">
        <v>2</v>
      </c>
      <c r="AY67" s="1" t="s">
        <v>73</v>
      </c>
      <c r="AZ67" s="1" t="s">
        <v>73</v>
      </c>
      <c r="BA67" s="126" t="s">
        <v>73</v>
      </c>
      <c r="BB67" s="1">
        <v>1933</v>
      </c>
      <c r="BC67" s="100">
        <v>45652.817465277774</v>
      </c>
      <c r="BD67" s="85">
        <v>45652.77579861111</v>
      </c>
      <c r="BE67" s="1" t="s">
        <v>300</v>
      </c>
      <c r="BF67" s="1" t="s">
        <v>78</v>
      </c>
      <c r="BG67" s="1" t="s">
        <v>76</v>
      </c>
      <c r="BH67" s="1" t="s">
        <v>162</v>
      </c>
      <c r="BI67" s="1" t="s">
        <v>301</v>
      </c>
      <c r="BJ67" s="1" t="s">
        <v>302</v>
      </c>
      <c r="BK67" s="1">
        <v>16</v>
      </c>
      <c r="BL67" s="1" t="s">
        <v>73</v>
      </c>
      <c r="BM67" s="1" t="s">
        <v>73</v>
      </c>
      <c r="BN67" s="1" t="s">
        <v>73</v>
      </c>
      <c r="BO67" s="1" t="s">
        <v>73</v>
      </c>
      <c r="BP67" s="1" t="s">
        <v>73</v>
      </c>
      <c r="BQ67" s="1" t="s">
        <v>73</v>
      </c>
      <c r="BR67" s="1"/>
      <c r="BS67" s="1" t="s">
        <v>73</v>
      </c>
      <c r="BT67" s="1" t="s">
        <v>73</v>
      </c>
      <c r="BU67" s="1" t="s">
        <v>73</v>
      </c>
      <c r="BV67" s="1" t="s">
        <v>73</v>
      </c>
      <c r="BW67" s="1"/>
      <c r="CB67"/>
      <c r="CC67"/>
    </row>
    <row r="68" spans="1:81" ht="16" x14ac:dyDescent="0.2">
      <c r="A68" t="s">
        <v>136</v>
      </c>
      <c r="B68" t="s">
        <v>288</v>
      </c>
      <c r="C68" t="s">
        <v>289</v>
      </c>
      <c r="D68" s="1" t="s">
        <v>72</v>
      </c>
      <c r="E68" s="1" t="s">
        <v>73</v>
      </c>
      <c r="F68" s="1" t="s">
        <v>73</v>
      </c>
      <c r="G68" s="1" t="s">
        <v>73</v>
      </c>
      <c r="H68" s="1"/>
      <c r="I68" s="1"/>
      <c r="N68" s="1"/>
      <c r="O68" s="1"/>
      <c r="P68" s="1"/>
      <c r="Q68" s="1" t="s">
        <v>73</v>
      </c>
      <c r="R68" s="1" t="s">
        <v>73</v>
      </c>
      <c r="S68" s="1" t="s">
        <v>73</v>
      </c>
      <c r="T68" s="79"/>
      <c r="U68" s="79"/>
      <c r="V68" s="1"/>
      <c r="W68" s="1"/>
      <c r="X68" s="1"/>
      <c r="Y68" s="1"/>
      <c r="Z68" s="1" t="s">
        <v>73</v>
      </c>
      <c r="AA68" s="1" t="s">
        <v>73</v>
      </c>
      <c r="AC68" s="1"/>
      <c r="AE68" s="1"/>
      <c r="AF68" s="1"/>
      <c r="AK68" s="1" t="s">
        <v>73</v>
      </c>
      <c r="AL68" s="1" t="s">
        <v>73</v>
      </c>
      <c r="AN68" s="1" t="s">
        <v>73</v>
      </c>
      <c r="AP68" s="1" t="s">
        <v>73</v>
      </c>
      <c r="AR68" s="1" t="s">
        <v>73</v>
      </c>
      <c r="AT68" t="s">
        <v>73</v>
      </c>
      <c r="AW68" s="1">
        <v>10</v>
      </c>
      <c r="AX68" s="1">
        <v>0</v>
      </c>
      <c r="AY68" s="1" t="s">
        <v>73</v>
      </c>
      <c r="AZ68" s="1" t="s">
        <v>73</v>
      </c>
      <c r="BA68" s="126" t="s">
        <v>73</v>
      </c>
      <c r="BB68" s="1">
        <v>1930</v>
      </c>
      <c r="BC68" s="100">
        <v>45652.55091435185</v>
      </c>
      <c r="BD68" s="85">
        <v>45652.509247685186</v>
      </c>
      <c r="BE68" s="1" t="s">
        <v>73</v>
      </c>
      <c r="BF68" s="1" t="s">
        <v>73</v>
      </c>
      <c r="BG68" s="1" t="s">
        <v>73</v>
      </c>
      <c r="BH68" s="1" t="s">
        <v>73</v>
      </c>
      <c r="BI68" s="1" t="s">
        <v>73</v>
      </c>
      <c r="BJ68" s="1" t="s">
        <v>73</v>
      </c>
      <c r="BK68" s="1"/>
      <c r="BL68" s="1" t="s">
        <v>73</v>
      </c>
      <c r="BM68" s="1" t="s">
        <v>73</v>
      </c>
      <c r="BN68" s="1" t="s">
        <v>73</v>
      </c>
      <c r="BO68" s="1" t="s">
        <v>73</v>
      </c>
      <c r="BP68" s="1" t="s">
        <v>73</v>
      </c>
      <c r="BQ68" s="1" t="s">
        <v>73</v>
      </c>
      <c r="BR68" s="1"/>
      <c r="BS68" s="1" t="s">
        <v>73</v>
      </c>
      <c r="BT68" s="1" t="s">
        <v>73</v>
      </c>
      <c r="BU68" s="1" t="s">
        <v>73</v>
      </c>
      <c r="BV68" s="1" t="s">
        <v>73</v>
      </c>
      <c r="BW68" s="1"/>
      <c r="CB68"/>
      <c r="CC68"/>
    </row>
    <row r="69" spans="1:81" ht="16" x14ac:dyDescent="0.2">
      <c r="A69" t="s">
        <v>136</v>
      </c>
      <c r="B69" t="s">
        <v>200</v>
      </c>
      <c r="C69" t="s">
        <v>201</v>
      </c>
      <c r="D69" s="1" t="s">
        <v>73</v>
      </c>
      <c r="E69" s="1" t="s">
        <v>73</v>
      </c>
      <c r="F69" s="1" t="s">
        <v>72</v>
      </c>
      <c r="G69" s="1" t="s">
        <v>72</v>
      </c>
      <c r="H69" s="1" t="s">
        <v>74</v>
      </c>
      <c r="I69" s="1"/>
      <c r="N69" s="1"/>
      <c r="O69" s="1"/>
      <c r="P69" s="1"/>
      <c r="Q69" s="1" t="s">
        <v>73</v>
      </c>
      <c r="R69" s="1" t="s">
        <v>73</v>
      </c>
      <c r="S69" s="1" t="s">
        <v>73</v>
      </c>
      <c r="T69" s="79"/>
      <c r="U69" s="79"/>
      <c r="V69" s="1"/>
      <c r="W69" s="1"/>
      <c r="X69" s="1"/>
      <c r="Y69" s="1"/>
      <c r="Z69" s="1" t="s">
        <v>73</v>
      </c>
      <c r="AA69" s="1" t="s">
        <v>73</v>
      </c>
      <c r="AB69">
        <v>3</v>
      </c>
      <c r="AC69" s="1">
        <v>6</v>
      </c>
      <c r="AE69" s="1"/>
      <c r="AF69" s="1"/>
      <c r="AG69">
        <v>6</v>
      </c>
      <c r="AK69" s="1" t="s">
        <v>72</v>
      </c>
      <c r="AL69" s="1" t="s">
        <v>72</v>
      </c>
      <c r="AM69">
        <v>6</v>
      </c>
      <c r="AN69" s="1" t="s">
        <v>72</v>
      </c>
      <c r="AO69">
        <v>6</v>
      </c>
      <c r="AP69" s="1" t="s">
        <v>73</v>
      </c>
      <c r="AR69" s="1" t="s">
        <v>72</v>
      </c>
      <c r="AS69">
        <v>6</v>
      </c>
      <c r="AT69" t="s">
        <v>72</v>
      </c>
      <c r="AU69">
        <v>1</v>
      </c>
      <c r="AV69">
        <v>1</v>
      </c>
      <c r="AW69" s="1">
        <v>70</v>
      </c>
      <c r="AX69" s="1">
        <v>15</v>
      </c>
      <c r="AY69" s="1" t="s">
        <v>73</v>
      </c>
      <c r="AZ69" s="1" t="s">
        <v>73</v>
      </c>
      <c r="BA69" s="126" t="s">
        <v>73</v>
      </c>
      <c r="BB69" s="1">
        <v>1921</v>
      </c>
      <c r="BC69" s="100">
        <v>45651.534745370373</v>
      </c>
      <c r="BD69" s="85">
        <v>45657.500254629631</v>
      </c>
      <c r="BE69" s="1" t="s">
        <v>73</v>
      </c>
      <c r="BF69" s="1" t="s">
        <v>73</v>
      </c>
      <c r="BG69" s="1" t="s">
        <v>73</v>
      </c>
      <c r="BH69" s="1" t="s">
        <v>73</v>
      </c>
      <c r="BI69" s="1" t="s">
        <v>73</v>
      </c>
      <c r="BJ69" s="1" t="s">
        <v>73</v>
      </c>
      <c r="BK69" s="1"/>
      <c r="BL69" s="1" t="s">
        <v>73</v>
      </c>
      <c r="BM69" s="1" t="s">
        <v>73</v>
      </c>
      <c r="BN69" s="1" t="s">
        <v>73</v>
      </c>
      <c r="BO69" s="1" t="s">
        <v>73</v>
      </c>
      <c r="BP69" s="1" t="s">
        <v>73</v>
      </c>
      <c r="BQ69" s="1" t="s">
        <v>73</v>
      </c>
      <c r="BR69" s="1"/>
      <c r="BS69" s="1" t="s">
        <v>75</v>
      </c>
      <c r="BT69" s="1" t="s">
        <v>362</v>
      </c>
      <c r="BU69" s="1" t="s">
        <v>363</v>
      </c>
      <c r="BV69" s="1" t="s">
        <v>364</v>
      </c>
      <c r="BW69" s="1">
        <v>14</v>
      </c>
      <c r="CB69"/>
      <c r="CC69"/>
    </row>
    <row r="70" spans="1:81" ht="16" x14ac:dyDescent="0.2">
      <c r="A70" t="s">
        <v>136</v>
      </c>
      <c r="B70" t="s">
        <v>269</v>
      </c>
      <c r="C70" t="s">
        <v>270</v>
      </c>
      <c r="D70" s="1" t="s">
        <v>73</v>
      </c>
      <c r="E70" s="1" t="s">
        <v>72</v>
      </c>
      <c r="F70" s="1" t="s">
        <v>73</v>
      </c>
      <c r="G70" s="1" t="s">
        <v>73</v>
      </c>
      <c r="H70" s="1"/>
      <c r="I70" s="1">
        <v>5</v>
      </c>
      <c r="J70">
        <v>5</v>
      </c>
      <c r="N70" s="1"/>
      <c r="O70" s="1"/>
      <c r="P70" s="1"/>
      <c r="Q70" s="1" t="s">
        <v>73</v>
      </c>
      <c r="R70" s="1" t="s">
        <v>73</v>
      </c>
      <c r="S70" s="1" t="s">
        <v>73</v>
      </c>
      <c r="T70" s="79"/>
      <c r="U70" s="79"/>
      <c r="V70" s="1"/>
      <c r="W70" s="1"/>
      <c r="X70" s="1"/>
      <c r="Y70" s="1"/>
      <c r="Z70" s="1" t="s">
        <v>73</v>
      </c>
      <c r="AA70" s="1" t="s">
        <v>73</v>
      </c>
      <c r="AC70" s="1">
        <v>5</v>
      </c>
      <c r="AE70" s="1">
        <v>2</v>
      </c>
      <c r="AF70" s="1"/>
      <c r="AG70">
        <v>5</v>
      </c>
      <c r="AI70">
        <v>2</v>
      </c>
      <c r="AK70" s="1" t="s">
        <v>73</v>
      </c>
      <c r="AL70" s="1" t="s">
        <v>72</v>
      </c>
      <c r="AM70">
        <v>3</v>
      </c>
      <c r="AN70" s="1" t="s">
        <v>72</v>
      </c>
      <c r="AO70">
        <v>3</v>
      </c>
      <c r="AP70" s="1" t="s">
        <v>73</v>
      </c>
      <c r="AR70" s="1" t="s">
        <v>72</v>
      </c>
      <c r="AS70">
        <v>4</v>
      </c>
      <c r="AT70" t="s">
        <v>73</v>
      </c>
      <c r="AW70" s="1">
        <v>50</v>
      </c>
      <c r="AX70" s="1">
        <v>10</v>
      </c>
      <c r="AY70" s="1" t="s">
        <v>73</v>
      </c>
      <c r="AZ70" s="1" t="s">
        <v>73</v>
      </c>
      <c r="BA70" s="126" t="s">
        <v>73</v>
      </c>
      <c r="BB70" s="1">
        <v>1908</v>
      </c>
      <c r="BC70" s="100">
        <v>45649.608888888892</v>
      </c>
      <c r="BD70" s="85">
        <v>45649.56722222222</v>
      </c>
      <c r="BE70" s="1" t="s">
        <v>73</v>
      </c>
      <c r="BF70" s="1" t="s">
        <v>73</v>
      </c>
      <c r="BG70" s="1" t="s">
        <v>73</v>
      </c>
      <c r="BH70" s="1" t="s">
        <v>73</v>
      </c>
      <c r="BI70" s="1" t="s">
        <v>73</v>
      </c>
      <c r="BJ70" s="1" t="s">
        <v>73</v>
      </c>
      <c r="BK70" s="1"/>
      <c r="BL70" s="1" t="s">
        <v>73</v>
      </c>
      <c r="BM70" s="1" t="s">
        <v>73</v>
      </c>
      <c r="BN70" s="1" t="s">
        <v>73</v>
      </c>
      <c r="BO70" s="1" t="s">
        <v>73</v>
      </c>
      <c r="BP70" s="1" t="s">
        <v>73</v>
      </c>
      <c r="BQ70" s="1" t="s">
        <v>73</v>
      </c>
      <c r="BR70" s="1"/>
      <c r="BS70" s="1" t="s">
        <v>73</v>
      </c>
      <c r="BT70" s="1" t="s">
        <v>73</v>
      </c>
      <c r="BU70" s="1" t="s">
        <v>73</v>
      </c>
      <c r="BV70" s="1" t="s">
        <v>73</v>
      </c>
      <c r="BW70" s="1"/>
      <c r="CB70"/>
      <c r="CC70"/>
    </row>
    <row r="71" spans="1:81" ht="16" x14ac:dyDescent="0.2">
      <c r="A71" t="s">
        <v>136</v>
      </c>
      <c r="B71" t="s">
        <v>226</v>
      </c>
      <c r="C71" t="s">
        <v>227</v>
      </c>
      <c r="D71" s="1" t="s">
        <v>73</v>
      </c>
      <c r="E71" s="1" t="s">
        <v>72</v>
      </c>
      <c r="F71" s="1" t="s">
        <v>72</v>
      </c>
      <c r="G71" s="1" t="s">
        <v>73</v>
      </c>
      <c r="H71" s="1"/>
      <c r="I71" s="1">
        <v>5</v>
      </c>
      <c r="N71" s="1"/>
      <c r="O71" s="1"/>
      <c r="P71" s="1"/>
      <c r="Q71" s="1" t="s">
        <v>73</v>
      </c>
      <c r="R71" s="1" t="s">
        <v>73</v>
      </c>
      <c r="S71" s="1" t="s">
        <v>73</v>
      </c>
      <c r="T71" s="79"/>
      <c r="U71" s="79"/>
      <c r="V71" s="1"/>
      <c r="W71" s="1"/>
      <c r="X71" s="1"/>
      <c r="Y71" s="1"/>
      <c r="Z71" s="1" t="s">
        <v>73</v>
      </c>
      <c r="AA71" s="1" t="s">
        <v>73</v>
      </c>
      <c r="AC71" s="1"/>
      <c r="AE71" s="1"/>
      <c r="AF71" s="1"/>
      <c r="AK71" s="1" t="s">
        <v>72</v>
      </c>
      <c r="AL71" s="1" t="s">
        <v>72</v>
      </c>
      <c r="AM71">
        <v>5</v>
      </c>
      <c r="AN71" s="1" t="s">
        <v>72</v>
      </c>
      <c r="AO71">
        <v>5</v>
      </c>
      <c r="AP71" s="1" t="s">
        <v>73</v>
      </c>
      <c r="AR71" s="1" t="s">
        <v>72</v>
      </c>
      <c r="AS71">
        <v>5</v>
      </c>
      <c r="AT71" t="s">
        <v>73</v>
      </c>
      <c r="AW71" s="1">
        <v>40</v>
      </c>
      <c r="AX71" s="1">
        <v>1</v>
      </c>
      <c r="AY71" s="1" t="s">
        <v>73</v>
      </c>
      <c r="AZ71" s="1" t="s">
        <v>73</v>
      </c>
      <c r="BA71" s="126" t="s">
        <v>73</v>
      </c>
      <c r="BB71" s="1">
        <v>1865</v>
      </c>
      <c r="BC71" s="100">
        <v>45644.823645833334</v>
      </c>
      <c r="BD71" s="85">
        <v>45644.78197916667</v>
      </c>
      <c r="BE71" s="1" t="s">
        <v>73</v>
      </c>
      <c r="BF71" s="1" t="s">
        <v>73</v>
      </c>
      <c r="BG71" s="1" t="s">
        <v>73</v>
      </c>
      <c r="BH71" s="1" t="s">
        <v>73</v>
      </c>
      <c r="BI71" s="1" t="s">
        <v>73</v>
      </c>
      <c r="BJ71" s="1" t="s">
        <v>73</v>
      </c>
      <c r="BK71" s="1"/>
      <c r="BL71" s="1" t="s">
        <v>73</v>
      </c>
      <c r="BM71" s="1" t="s">
        <v>73</v>
      </c>
      <c r="BN71" s="1" t="s">
        <v>73</v>
      </c>
      <c r="BO71" s="1" t="s">
        <v>73</v>
      </c>
      <c r="BP71" s="1" t="s">
        <v>73</v>
      </c>
      <c r="BQ71" s="1" t="s">
        <v>73</v>
      </c>
      <c r="BR71" s="1"/>
      <c r="BS71" s="1" t="s">
        <v>73</v>
      </c>
      <c r="BT71" s="1" t="s">
        <v>73</v>
      </c>
      <c r="BU71" s="1" t="s">
        <v>73</v>
      </c>
      <c r="BV71" s="1" t="s">
        <v>73</v>
      </c>
      <c r="BW71" s="1"/>
      <c r="CB71"/>
      <c r="CC71"/>
    </row>
    <row r="72" spans="1:81" ht="16" x14ac:dyDescent="0.2">
      <c r="A72" t="s">
        <v>136</v>
      </c>
      <c r="B72" t="s">
        <v>210</v>
      </c>
      <c r="C72" t="s">
        <v>211</v>
      </c>
      <c r="D72" s="1" t="s">
        <v>73</v>
      </c>
      <c r="E72" s="1" t="s">
        <v>72</v>
      </c>
      <c r="F72" s="1" t="s">
        <v>72</v>
      </c>
      <c r="G72" s="1" t="s">
        <v>73</v>
      </c>
      <c r="H72" s="1"/>
      <c r="I72" s="1">
        <v>5</v>
      </c>
      <c r="J72">
        <v>3</v>
      </c>
      <c r="N72" s="1">
        <v>4</v>
      </c>
      <c r="O72" s="1"/>
      <c r="P72" s="1"/>
      <c r="Q72" s="1" t="s">
        <v>73</v>
      </c>
      <c r="R72" s="1" t="s">
        <v>73</v>
      </c>
      <c r="S72" s="1" t="s">
        <v>73</v>
      </c>
      <c r="T72" s="79">
        <v>3</v>
      </c>
      <c r="U72" s="79">
        <v>1</v>
      </c>
      <c r="V72" s="1"/>
      <c r="W72" s="1">
        <v>3</v>
      </c>
      <c r="X72" s="1">
        <v>1</v>
      </c>
      <c r="Y72" s="1"/>
      <c r="Z72" s="1" t="s">
        <v>73</v>
      </c>
      <c r="AA72" s="1" t="s">
        <v>73</v>
      </c>
      <c r="AC72" s="1"/>
      <c r="AE72" s="1"/>
      <c r="AF72" s="1"/>
      <c r="AK72" s="1" t="s">
        <v>72</v>
      </c>
      <c r="AL72" s="1" t="s">
        <v>73</v>
      </c>
      <c r="AN72" s="1" t="s">
        <v>73</v>
      </c>
      <c r="AP72" s="1" t="s">
        <v>73</v>
      </c>
      <c r="AR72" s="1" t="s">
        <v>73</v>
      </c>
      <c r="AT72" t="s">
        <v>73</v>
      </c>
      <c r="AW72" s="1">
        <v>32</v>
      </c>
      <c r="AX72" s="1">
        <v>7</v>
      </c>
      <c r="AY72" s="1" t="s">
        <v>73</v>
      </c>
      <c r="AZ72" s="1" t="s">
        <v>73</v>
      </c>
      <c r="BA72" s="126" t="s">
        <v>73</v>
      </c>
      <c r="BB72" s="1">
        <v>1847</v>
      </c>
      <c r="BC72" s="100">
        <v>45642.810335648152</v>
      </c>
      <c r="BD72" s="85">
        <v>45642.76866898148</v>
      </c>
      <c r="BE72" s="1" t="s">
        <v>73</v>
      </c>
      <c r="BF72" s="1" t="s">
        <v>73</v>
      </c>
      <c r="BG72" s="1" t="s">
        <v>73</v>
      </c>
      <c r="BH72" s="1" t="s">
        <v>73</v>
      </c>
      <c r="BI72" s="1" t="s">
        <v>73</v>
      </c>
      <c r="BJ72" s="1" t="s">
        <v>73</v>
      </c>
      <c r="BK72" s="1"/>
      <c r="BL72" s="1" t="s">
        <v>73</v>
      </c>
      <c r="BM72" s="1" t="s">
        <v>73</v>
      </c>
      <c r="BN72" s="1" t="s">
        <v>73</v>
      </c>
      <c r="BO72" s="1" t="s">
        <v>73</v>
      </c>
      <c r="BP72" s="1" t="s">
        <v>73</v>
      </c>
      <c r="BQ72" s="1" t="s">
        <v>73</v>
      </c>
      <c r="BR72" s="1"/>
      <c r="BS72" s="1" t="s">
        <v>73</v>
      </c>
      <c r="BT72" s="1" t="s">
        <v>73</v>
      </c>
      <c r="BU72" s="1" t="s">
        <v>73</v>
      </c>
      <c r="BV72" s="1" t="s">
        <v>73</v>
      </c>
      <c r="BW72" s="1"/>
      <c r="CB72"/>
      <c r="CC72"/>
    </row>
    <row r="73" spans="1:81" ht="128" x14ac:dyDescent="0.2">
      <c r="A73" t="s">
        <v>136</v>
      </c>
      <c r="B73" t="s">
        <v>179</v>
      </c>
      <c r="C73" t="s">
        <v>170</v>
      </c>
      <c r="D73" s="1" t="s">
        <v>73</v>
      </c>
      <c r="E73" s="1" t="s">
        <v>72</v>
      </c>
      <c r="F73" s="1" t="s">
        <v>72</v>
      </c>
      <c r="G73" s="1" t="s">
        <v>73</v>
      </c>
      <c r="H73" s="1"/>
      <c r="I73" s="1"/>
      <c r="L73">
        <v>6</v>
      </c>
      <c r="N73" s="1"/>
      <c r="O73" s="1"/>
      <c r="P73" s="1"/>
      <c r="Q73" s="1" t="s">
        <v>73</v>
      </c>
      <c r="R73" s="1" t="s">
        <v>73</v>
      </c>
      <c r="S73" s="1" t="s">
        <v>73</v>
      </c>
      <c r="T73" s="79"/>
      <c r="U73" s="79">
        <v>1</v>
      </c>
      <c r="V73" s="1">
        <v>5</v>
      </c>
      <c r="W73" s="1"/>
      <c r="X73" s="1">
        <v>1</v>
      </c>
      <c r="Y73" s="1">
        <v>5</v>
      </c>
      <c r="Z73" s="1" t="s">
        <v>72</v>
      </c>
      <c r="AA73" s="1" t="s">
        <v>73</v>
      </c>
      <c r="AC73" s="1"/>
      <c r="AE73" s="1"/>
      <c r="AF73" s="1"/>
      <c r="AK73" s="1" t="s">
        <v>73</v>
      </c>
      <c r="AL73" s="1" t="s">
        <v>73</v>
      </c>
      <c r="AN73" s="1" t="s">
        <v>73</v>
      </c>
      <c r="AP73" s="1" t="s">
        <v>73</v>
      </c>
      <c r="AR73" s="1" t="s">
        <v>73</v>
      </c>
      <c r="AT73" t="s">
        <v>72</v>
      </c>
      <c r="AU73">
        <v>3</v>
      </c>
      <c r="AW73" s="1">
        <v>42</v>
      </c>
      <c r="AX73" s="1">
        <v>42</v>
      </c>
      <c r="AY73" s="1" t="s">
        <v>73</v>
      </c>
      <c r="AZ73" s="1" t="s">
        <v>73</v>
      </c>
      <c r="BA73" s="126" t="s">
        <v>160</v>
      </c>
      <c r="BB73" s="1">
        <v>1829</v>
      </c>
      <c r="BC73" s="100">
        <v>45639.322210648148</v>
      </c>
      <c r="BD73" s="85">
        <v>45639.287627314814</v>
      </c>
      <c r="BE73" s="1" t="s">
        <v>166</v>
      </c>
      <c r="BF73" s="1" t="s">
        <v>78</v>
      </c>
      <c r="BG73" s="1" t="s">
        <v>161</v>
      </c>
      <c r="BH73" s="1" t="s">
        <v>162</v>
      </c>
      <c r="BI73" s="1" t="s">
        <v>171</v>
      </c>
      <c r="BJ73" s="1" t="s">
        <v>171</v>
      </c>
      <c r="BK73" s="1">
        <v>23</v>
      </c>
      <c r="BL73" s="1" t="s">
        <v>73</v>
      </c>
      <c r="BM73" s="1" t="s">
        <v>73</v>
      </c>
      <c r="BN73" s="1" t="s">
        <v>73</v>
      </c>
      <c r="BO73" s="1" t="s">
        <v>73</v>
      </c>
      <c r="BP73" s="1" t="s">
        <v>73</v>
      </c>
      <c r="BQ73" s="1" t="s">
        <v>73</v>
      </c>
      <c r="BR73" s="1"/>
      <c r="BS73" s="1" t="s">
        <v>73</v>
      </c>
      <c r="BT73" s="1" t="s">
        <v>73</v>
      </c>
      <c r="BU73" s="1" t="s">
        <v>73</v>
      </c>
      <c r="BV73" s="1" t="s">
        <v>73</v>
      </c>
      <c r="BW73" s="1"/>
      <c r="CB73"/>
      <c r="CC73"/>
    </row>
    <row r="74" spans="1:81" ht="48" x14ac:dyDescent="0.2">
      <c r="A74" t="s">
        <v>136</v>
      </c>
      <c r="B74" t="s">
        <v>180</v>
      </c>
      <c r="C74" t="s">
        <v>157</v>
      </c>
      <c r="D74" s="1" t="s">
        <v>72</v>
      </c>
      <c r="E74" s="1" t="s">
        <v>72</v>
      </c>
      <c r="F74" s="1" t="s">
        <v>73</v>
      </c>
      <c r="G74" s="1" t="s">
        <v>73</v>
      </c>
      <c r="H74" s="1"/>
      <c r="I74" s="1"/>
      <c r="N74" s="1"/>
      <c r="O74" s="1"/>
      <c r="P74" s="1"/>
      <c r="Q74" s="1" t="s">
        <v>73</v>
      </c>
      <c r="R74" s="1" t="s">
        <v>73</v>
      </c>
      <c r="S74" s="1" t="s">
        <v>73</v>
      </c>
      <c r="T74" s="79">
        <v>4</v>
      </c>
      <c r="U74" s="79">
        <v>3</v>
      </c>
      <c r="V74" s="1"/>
      <c r="W74" s="1">
        <v>4</v>
      </c>
      <c r="X74" s="1">
        <v>3</v>
      </c>
      <c r="Y74" s="1"/>
      <c r="Z74" s="1" t="s">
        <v>73</v>
      </c>
      <c r="AA74" s="1" t="s">
        <v>73</v>
      </c>
      <c r="AC74" s="1"/>
      <c r="AE74" s="1"/>
      <c r="AF74" s="1"/>
      <c r="AK74" s="1" t="s">
        <v>73</v>
      </c>
      <c r="AL74" s="1" t="s">
        <v>73</v>
      </c>
      <c r="AN74" s="1" t="s">
        <v>73</v>
      </c>
      <c r="AP74" s="1" t="s">
        <v>73</v>
      </c>
      <c r="AR74" s="1" t="s">
        <v>73</v>
      </c>
      <c r="AT74" t="s">
        <v>73</v>
      </c>
      <c r="AW74" s="1">
        <v>0</v>
      </c>
      <c r="AX74" s="1">
        <v>0</v>
      </c>
      <c r="AY74" s="1" t="s">
        <v>73</v>
      </c>
      <c r="AZ74" s="1" t="s">
        <v>73</v>
      </c>
      <c r="BA74" s="126" t="s">
        <v>158</v>
      </c>
      <c r="BB74" s="1">
        <v>1828</v>
      </c>
      <c r="BC74" s="100">
        <v>45638.651747685188</v>
      </c>
      <c r="BD74" s="85">
        <v>45639.807164351849</v>
      </c>
      <c r="BE74" s="1" t="s">
        <v>73</v>
      </c>
      <c r="BF74" s="1" t="s">
        <v>73</v>
      </c>
      <c r="BG74" s="1" t="s">
        <v>73</v>
      </c>
      <c r="BH74" s="1" t="s">
        <v>73</v>
      </c>
      <c r="BI74" s="1" t="s">
        <v>73</v>
      </c>
      <c r="BJ74" s="1" t="s">
        <v>73</v>
      </c>
      <c r="BK74" s="1"/>
      <c r="BL74" s="1" t="s">
        <v>73</v>
      </c>
      <c r="BM74" s="1" t="s">
        <v>73</v>
      </c>
      <c r="BN74" s="1" t="s">
        <v>73</v>
      </c>
      <c r="BO74" s="1" t="s">
        <v>73</v>
      </c>
      <c r="BP74" s="1" t="s">
        <v>73</v>
      </c>
      <c r="BQ74" s="1" t="s">
        <v>73</v>
      </c>
      <c r="BR74" s="1"/>
      <c r="BS74" s="1" t="s">
        <v>73</v>
      </c>
      <c r="BT74" s="1" t="s">
        <v>73</v>
      </c>
      <c r="BU74" s="1" t="s">
        <v>73</v>
      </c>
      <c r="BV74" s="1" t="s">
        <v>73</v>
      </c>
      <c r="BW74" s="1"/>
      <c r="CB74"/>
      <c r="CC74"/>
    </row>
    <row r="75" spans="1:81" ht="128" x14ac:dyDescent="0.2">
      <c r="A75" t="s">
        <v>136</v>
      </c>
      <c r="B75" t="s">
        <v>181</v>
      </c>
      <c r="C75" t="s">
        <v>159</v>
      </c>
      <c r="D75" s="1" t="s">
        <v>73</v>
      </c>
      <c r="E75" s="1" t="s">
        <v>72</v>
      </c>
      <c r="F75" s="1" t="s">
        <v>73</v>
      </c>
      <c r="G75" s="1" t="s">
        <v>73</v>
      </c>
      <c r="H75" s="1"/>
      <c r="I75" s="1">
        <v>7</v>
      </c>
      <c r="N75" s="1"/>
      <c r="O75" s="1"/>
      <c r="P75" s="1"/>
      <c r="Q75" s="1" t="s">
        <v>73</v>
      </c>
      <c r="R75" s="1" t="s">
        <v>73</v>
      </c>
      <c r="S75" s="1" t="s">
        <v>73</v>
      </c>
      <c r="T75" s="79">
        <v>1</v>
      </c>
      <c r="U75" s="79"/>
      <c r="V75" s="1"/>
      <c r="W75" s="1">
        <v>1</v>
      </c>
      <c r="X75" s="1"/>
      <c r="Y75" s="1"/>
      <c r="Z75" s="1" t="s">
        <v>72</v>
      </c>
      <c r="AA75" s="1" t="s">
        <v>73</v>
      </c>
      <c r="AC75" s="1"/>
      <c r="AE75" s="1"/>
      <c r="AF75" s="1"/>
      <c r="AK75" s="1" t="s">
        <v>73</v>
      </c>
      <c r="AL75" s="1" t="s">
        <v>72</v>
      </c>
      <c r="AM75">
        <v>6</v>
      </c>
      <c r="AN75" s="1" t="s">
        <v>72</v>
      </c>
      <c r="AO75">
        <v>6</v>
      </c>
      <c r="AP75" s="1" t="s">
        <v>73</v>
      </c>
      <c r="AR75" s="1" t="s">
        <v>72</v>
      </c>
      <c r="AS75">
        <v>6</v>
      </c>
      <c r="AT75" t="s">
        <v>73</v>
      </c>
      <c r="AW75" s="1">
        <v>90</v>
      </c>
      <c r="AX75" s="1">
        <v>0</v>
      </c>
      <c r="AY75" s="1" t="s">
        <v>73</v>
      </c>
      <c r="AZ75" s="1" t="s">
        <v>73</v>
      </c>
      <c r="BA75" s="126" t="s">
        <v>160</v>
      </c>
      <c r="BB75" s="1">
        <v>1825</v>
      </c>
      <c r="BC75" s="100">
        <v>45637.585219907407</v>
      </c>
      <c r="BD75" s="85">
        <v>45637.543553240743</v>
      </c>
      <c r="BE75" s="1" t="s">
        <v>159</v>
      </c>
      <c r="BF75" s="1" t="s">
        <v>78</v>
      </c>
      <c r="BG75" s="1" t="s">
        <v>161</v>
      </c>
      <c r="BH75" s="1" t="s">
        <v>162</v>
      </c>
      <c r="BI75" s="1" t="s">
        <v>163</v>
      </c>
      <c r="BJ75" s="1" t="s">
        <v>163</v>
      </c>
      <c r="BK75" s="1">
        <v>62</v>
      </c>
      <c r="BL75" s="1" t="s">
        <v>73</v>
      </c>
      <c r="BM75" s="1" t="s">
        <v>73</v>
      </c>
      <c r="BN75" s="1" t="s">
        <v>73</v>
      </c>
      <c r="BO75" s="1" t="s">
        <v>73</v>
      </c>
      <c r="BP75" s="1" t="s">
        <v>73</v>
      </c>
      <c r="BQ75" s="1" t="s">
        <v>73</v>
      </c>
      <c r="BR75" s="1"/>
      <c r="BS75" s="1" t="s">
        <v>73</v>
      </c>
      <c r="BT75" s="1" t="s">
        <v>73</v>
      </c>
      <c r="BU75" s="1" t="s">
        <v>73</v>
      </c>
      <c r="BV75" s="1" t="s">
        <v>73</v>
      </c>
      <c r="BW75" s="1"/>
      <c r="CB75"/>
      <c r="CC75"/>
    </row>
    <row r="76" spans="1:81" ht="16" x14ac:dyDescent="0.2">
      <c r="A76" t="s">
        <v>136</v>
      </c>
      <c r="B76" t="s">
        <v>182</v>
      </c>
      <c r="C76" t="s">
        <v>150</v>
      </c>
      <c r="D76" s="1" t="s">
        <v>73</v>
      </c>
      <c r="E76" s="1" t="s">
        <v>72</v>
      </c>
      <c r="F76" s="1" t="s">
        <v>72</v>
      </c>
      <c r="G76" s="1" t="s">
        <v>73</v>
      </c>
      <c r="H76" s="1"/>
      <c r="I76" s="1">
        <v>3</v>
      </c>
      <c r="N76" s="1"/>
      <c r="O76" s="1"/>
      <c r="P76" s="1"/>
      <c r="Q76" s="1" t="s">
        <v>73</v>
      </c>
      <c r="R76" s="1" t="s">
        <v>73</v>
      </c>
      <c r="S76" s="1" t="s">
        <v>73</v>
      </c>
      <c r="T76" s="79"/>
      <c r="U76" s="79"/>
      <c r="V76" s="1"/>
      <c r="W76" s="1"/>
      <c r="X76" s="1"/>
      <c r="Y76" s="1"/>
      <c r="Z76" s="1" t="s">
        <v>73</v>
      </c>
      <c r="AA76" s="1" t="s">
        <v>73</v>
      </c>
      <c r="AC76" s="1"/>
      <c r="AE76" s="1"/>
      <c r="AF76" s="1"/>
      <c r="AK76" s="1" t="s">
        <v>73</v>
      </c>
      <c r="AL76" s="1" t="s">
        <v>72</v>
      </c>
      <c r="AM76">
        <v>6</v>
      </c>
      <c r="AN76" s="1" t="s">
        <v>72</v>
      </c>
      <c r="AO76">
        <v>6</v>
      </c>
      <c r="AP76" s="1" t="s">
        <v>73</v>
      </c>
      <c r="AR76" s="1" t="s">
        <v>72</v>
      </c>
      <c r="AS76">
        <v>3</v>
      </c>
      <c r="AT76" t="s">
        <v>73</v>
      </c>
      <c r="AW76" s="1">
        <v>30</v>
      </c>
      <c r="AX76" s="1">
        <v>2</v>
      </c>
      <c r="AY76" s="1" t="s">
        <v>73</v>
      </c>
      <c r="AZ76" s="1" t="s">
        <v>73</v>
      </c>
      <c r="BA76" s="126" t="s">
        <v>73</v>
      </c>
      <c r="BB76" s="1">
        <v>1818</v>
      </c>
      <c r="BC76" s="100">
        <v>45634.991388888891</v>
      </c>
      <c r="BD76" s="85">
        <v>45634.94972222222</v>
      </c>
      <c r="BE76" s="1" t="s">
        <v>73</v>
      </c>
      <c r="BF76" s="1" t="s">
        <v>73</v>
      </c>
      <c r="BG76" s="1" t="s">
        <v>73</v>
      </c>
      <c r="BH76" s="1" t="s">
        <v>73</v>
      </c>
      <c r="BI76" s="1" t="s">
        <v>73</v>
      </c>
      <c r="BJ76" s="1" t="s">
        <v>73</v>
      </c>
      <c r="BK76" s="1"/>
      <c r="BL76" s="1" t="s">
        <v>73</v>
      </c>
      <c r="BM76" s="1" t="s">
        <v>73</v>
      </c>
      <c r="BN76" s="1" t="s">
        <v>73</v>
      </c>
      <c r="BO76" s="1" t="s">
        <v>73</v>
      </c>
      <c r="BP76" s="1" t="s">
        <v>73</v>
      </c>
      <c r="BQ76" s="1" t="s">
        <v>73</v>
      </c>
      <c r="BR76" s="1"/>
      <c r="BS76" s="1" t="s">
        <v>73</v>
      </c>
      <c r="BT76" s="1" t="s">
        <v>73</v>
      </c>
      <c r="BU76" s="1" t="s">
        <v>73</v>
      </c>
      <c r="BV76" s="1" t="s">
        <v>73</v>
      </c>
      <c r="BW76" s="1"/>
      <c r="CB76"/>
      <c r="CC76"/>
    </row>
    <row r="77" spans="1:81" ht="16" x14ac:dyDescent="0.2">
      <c r="A77" t="s">
        <v>136</v>
      </c>
      <c r="B77" t="s">
        <v>183</v>
      </c>
      <c r="C77" t="s">
        <v>137</v>
      </c>
      <c r="D77" s="1" t="s">
        <v>73</v>
      </c>
      <c r="E77" s="1" t="s">
        <v>72</v>
      </c>
      <c r="F77" s="1" t="s">
        <v>72</v>
      </c>
      <c r="G77" s="1" t="s">
        <v>73</v>
      </c>
      <c r="H77" s="1"/>
      <c r="I77" s="1"/>
      <c r="N77" s="1"/>
      <c r="O77" s="1"/>
      <c r="P77" s="1"/>
      <c r="Q77" s="1" t="s">
        <v>73</v>
      </c>
      <c r="R77" s="1" t="s">
        <v>73</v>
      </c>
      <c r="S77" s="1" t="s">
        <v>73</v>
      </c>
      <c r="T77" s="79"/>
      <c r="U77" s="79"/>
      <c r="V77" s="1"/>
      <c r="W77" s="1"/>
      <c r="X77" s="1"/>
      <c r="Y77" s="1"/>
      <c r="Z77" s="1" t="s">
        <v>73</v>
      </c>
      <c r="AA77" s="1" t="s">
        <v>73</v>
      </c>
      <c r="AC77" s="1"/>
      <c r="AE77" s="1"/>
      <c r="AF77" s="1"/>
      <c r="AK77" s="1" t="s">
        <v>73</v>
      </c>
      <c r="AL77" s="1" t="s">
        <v>72</v>
      </c>
      <c r="AM77">
        <v>6</v>
      </c>
      <c r="AN77" s="1" t="s">
        <v>72</v>
      </c>
      <c r="AO77">
        <v>4</v>
      </c>
      <c r="AP77" s="1" t="s">
        <v>73</v>
      </c>
      <c r="AR77" s="1" t="s">
        <v>72</v>
      </c>
      <c r="AS77">
        <v>6</v>
      </c>
      <c r="AT77" t="s">
        <v>73</v>
      </c>
      <c r="AW77" s="1">
        <v>25</v>
      </c>
      <c r="AX77" s="1">
        <v>1</v>
      </c>
      <c r="AY77" s="1" t="s">
        <v>73</v>
      </c>
      <c r="AZ77" s="1" t="s">
        <v>73</v>
      </c>
      <c r="BA77" s="126" t="s">
        <v>73</v>
      </c>
      <c r="BB77" s="1">
        <v>1812</v>
      </c>
      <c r="BC77" s="100">
        <v>45630.948182870372</v>
      </c>
      <c r="BD77" s="85">
        <v>45631.711759259262</v>
      </c>
      <c r="BE77" s="1" t="s">
        <v>73</v>
      </c>
      <c r="BF77" s="1" t="s">
        <v>73</v>
      </c>
      <c r="BG77" s="1" t="s">
        <v>73</v>
      </c>
      <c r="BH77" s="1" t="s">
        <v>73</v>
      </c>
      <c r="BI77" s="1" t="s">
        <v>73</v>
      </c>
      <c r="BJ77" s="1" t="s">
        <v>73</v>
      </c>
      <c r="BK77" s="1"/>
      <c r="BL77" s="1" t="s">
        <v>73</v>
      </c>
      <c r="BM77" s="1" t="s">
        <v>73</v>
      </c>
      <c r="BN77" s="1" t="s">
        <v>73</v>
      </c>
      <c r="BO77" s="1" t="s">
        <v>73</v>
      </c>
      <c r="BP77" s="1" t="s">
        <v>73</v>
      </c>
      <c r="BQ77" s="1" t="s">
        <v>73</v>
      </c>
      <c r="BR77" s="1"/>
      <c r="BS77" s="1" t="s">
        <v>73</v>
      </c>
      <c r="BT77" s="1" t="s">
        <v>73</v>
      </c>
      <c r="BU77" s="1" t="s">
        <v>73</v>
      </c>
      <c r="BV77" s="1" t="s">
        <v>73</v>
      </c>
      <c r="BW77" s="1"/>
      <c r="CB77"/>
      <c r="CC77"/>
    </row>
    <row r="78" spans="1:81" ht="64" x14ac:dyDescent="0.2">
      <c r="A78" t="s">
        <v>138</v>
      </c>
      <c r="B78" t="s">
        <v>348</v>
      </c>
      <c r="C78" t="s">
        <v>349</v>
      </c>
      <c r="D78" s="1" t="s">
        <v>73</v>
      </c>
      <c r="E78" s="1" t="s">
        <v>73</v>
      </c>
      <c r="F78" s="1" t="s">
        <v>73</v>
      </c>
      <c r="G78" s="1" t="s">
        <v>72</v>
      </c>
      <c r="H78" s="1" t="s">
        <v>74</v>
      </c>
      <c r="I78" s="1"/>
      <c r="N78" s="1"/>
      <c r="O78" s="1"/>
      <c r="P78" s="1"/>
      <c r="Q78" s="1" t="s">
        <v>73</v>
      </c>
      <c r="R78" s="1" t="s">
        <v>73</v>
      </c>
      <c r="S78" s="1" t="s">
        <v>73</v>
      </c>
      <c r="T78" s="79"/>
      <c r="U78" s="79"/>
      <c r="V78" s="1"/>
      <c r="W78" s="1"/>
      <c r="X78" s="1"/>
      <c r="Y78" s="1"/>
      <c r="Z78" s="1" t="s">
        <v>73</v>
      </c>
      <c r="AA78" s="1" t="s">
        <v>73</v>
      </c>
      <c r="AB78">
        <v>11</v>
      </c>
      <c r="AC78" s="1">
        <v>2</v>
      </c>
      <c r="AD78">
        <v>1</v>
      </c>
      <c r="AE78" s="1"/>
      <c r="AF78" s="1">
        <v>2</v>
      </c>
      <c r="AG78">
        <v>2</v>
      </c>
      <c r="AH78">
        <v>1</v>
      </c>
      <c r="AJ78">
        <v>2</v>
      </c>
      <c r="AK78" s="1" t="s">
        <v>73</v>
      </c>
      <c r="AL78" s="1" t="s">
        <v>72</v>
      </c>
      <c r="AM78">
        <v>2</v>
      </c>
      <c r="AN78" s="1" t="s">
        <v>73</v>
      </c>
      <c r="AP78" s="1" t="s">
        <v>73</v>
      </c>
      <c r="AR78" s="1" t="s">
        <v>73</v>
      </c>
      <c r="AT78" t="s">
        <v>73</v>
      </c>
      <c r="AW78" s="1">
        <v>40</v>
      </c>
      <c r="AX78" s="1">
        <v>14</v>
      </c>
      <c r="AY78" s="1" t="s">
        <v>72</v>
      </c>
      <c r="AZ78" s="1" t="s">
        <v>73</v>
      </c>
      <c r="BA78" s="126" t="s">
        <v>365</v>
      </c>
      <c r="BB78" s="1">
        <v>1983</v>
      </c>
      <c r="BC78" s="100">
        <v>45656.886712962965</v>
      </c>
      <c r="BD78" s="85">
        <v>45656.845046296294</v>
      </c>
      <c r="BE78" s="1" t="s">
        <v>73</v>
      </c>
      <c r="BF78" s="1" t="s">
        <v>73</v>
      </c>
      <c r="BG78" s="1" t="s">
        <v>73</v>
      </c>
      <c r="BH78" s="1" t="s">
        <v>73</v>
      </c>
      <c r="BI78" s="1" t="s">
        <v>73</v>
      </c>
      <c r="BJ78" s="1" t="s">
        <v>73</v>
      </c>
      <c r="BK78" s="1"/>
      <c r="BL78" s="1" t="s">
        <v>73</v>
      </c>
      <c r="BM78" s="1" t="s">
        <v>73</v>
      </c>
      <c r="BN78" s="1" t="s">
        <v>73</v>
      </c>
      <c r="BO78" s="1" t="s">
        <v>73</v>
      </c>
      <c r="BP78" s="1" t="s">
        <v>73</v>
      </c>
      <c r="BQ78" s="1" t="s">
        <v>73</v>
      </c>
      <c r="BR78" s="1"/>
      <c r="BS78" s="1" t="s">
        <v>75</v>
      </c>
      <c r="BT78" s="1" t="s">
        <v>351</v>
      </c>
      <c r="BU78" s="1" t="s">
        <v>352</v>
      </c>
      <c r="BV78" s="1" t="s">
        <v>353</v>
      </c>
      <c r="BW78" s="1">
        <v>18</v>
      </c>
      <c r="CB78"/>
      <c r="CC78"/>
    </row>
    <row r="79" spans="1:81" ht="32" x14ac:dyDescent="0.2">
      <c r="A79" t="s">
        <v>138</v>
      </c>
      <c r="B79" t="s">
        <v>359</v>
      </c>
      <c r="C79" t="s">
        <v>360</v>
      </c>
      <c r="D79" s="1" t="s">
        <v>73</v>
      </c>
      <c r="E79" s="1" t="s">
        <v>72</v>
      </c>
      <c r="F79" s="1" t="s">
        <v>72</v>
      </c>
      <c r="G79" s="1" t="s">
        <v>73</v>
      </c>
      <c r="H79" s="1"/>
      <c r="I79" s="1"/>
      <c r="J79">
        <v>6</v>
      </c>
      <c r="N79" s="1"/>
      <c r="O79" s="1"/>
      <c r="P79" s="1"/>
      <c r="Q79" s="1" t="s">
        <v>73</v>
      </c>
      <c r="R79" s="1" t="s">
        <v>73</v>
      </c>
      <c r="S79" s="1" t="s">
        <v>73</v>
      </c>
      <c r="T79" s="79"/>
      <c r="U79" s="79"/>
      <c r="V79" s="1"/>
      <c r="W79" s="1"/>
      <c r="X79" s="1"/>
      <c r="Y79" s="1"/>
      <c r="Z79" s="1" t="s">
        <v>73</v>
      </c>
      <c r="AA79" s="1" t="s">
        <v>73</v>
      </c>
      <c r="AC79" s="1"/>
      <c r="AE79" s="1"/>
      <c r="AF79" s="1"/>
      <c r="AK79" s="1" t="s">
        <v>72</v>
      </c>
      <c r="AL79" s="1" t="s">
        <v>73</v>
      </c>
      <c r="AN79" s="1" t="s">
        <v>73</v>
      </c>
      <c r="AP79" s="1" t="s">
        <v>73</v>
      </c>
      <c r="AR79" s="1" t="s">
        <v>73</v>
      </c>
      <c r="AT79" t="s">
        <v>73</v>
      </c>
      <c r="AW79" s="1">
        <v>25</v>
      </c>
      <c r="AX79" s="1">
        <v>5</v>
      </c>
      <c r="AY79" s="1" t="s">
        <v>73</v>
      </c>
      <c r="AZ79" s="1" t="s">
        <v>73</v>
      </c>
      <c r="BA79" s="126" t="s">
        <v>366</v>
      </c>
      <c r="BB79" s="1">
        <v>1982</v>
      </c>
      <c r="BC79" s="100">
        <v>45656.853900462964</v>
      </c>
      <c r="BD79" s="85">
        <v>45656.8122337963</v>
      </c>
      <c r="BE79" s="1" t="s">
        <v>73</v>
      </c>
      <c r="BF79" s="1" t="s">
        <v>73</v>
      </c>
      <c r="BG79" s="1" t="s">
        <v>73</v>
      </c>
      <c r="BH79" s="1" t="s">
        <v>73</v>
      </c>
      <c r="BI79" s="1" t="s">
        <v>73</v>
      </c>
      <c r="BJ79" s="1" t="s">
        <v>73</v>
      </c>
      <c r="BK79" s="1"/>
      <c r="BL79" s="1" t="s">
        <v>73</v>
      </c>
      <c r="BM79" s="1" t="s">
        <v>73</v>
      </c>
      <c r="BN79" s="1" t="s">
        <v>73</v>
      </c>
      <c r="BO79" s="1" t="s">
        <v>73</v>
      </c>
      <c r="BP79" s="1" t="s">
        <v>73</v>
      </c>
      <c r="BQ79" s="1" t="s">
        <v>73</v>
      </c>
      <c r="BR79" s="1"/>
      <c r="BS79" s="1" t="s">
        <v>73</v>
      </c>
      <c r="BT79" s="1" t="s">
        <v>73</v>
      </c>
      <c r="BU79" s="1" t="s">
        <v>73</v>
      </c>
      <c r="BV79" s="1" t="s">
        <v>73</v>
      </c>
      <c r="BW79" s="1"/>
      <c r="CB79"/>
      <c r="CC79"/>
    </row>
    <row r="80" spans="1:81" ht="16" x14ac:dyDescent="0.2">
      <c r="A80" t="s">
        <v>138</v>
      </c>
      <c r="B80" t="s">
        <v>343</v>
      </c>
      <c r="C80" t="s">
        <v>344</v>
      </c>
      <c r="D80" s="1" t="s">
        <v>73</v>
      </c>
      <c r="E80" s="1" t="s">
        <v>72</v>
      </c>
      <c r="F80" s="1" t="s">
        <v>73</v>
      </c>
      <c r="G80" s="1" t="s">
        <v>73</v>
      </c>
      <c r="H80" s="1"/>
      <c r="I80" s="1">
        <v>8</v>
      </c>
      <c r="J80">
        <v>5</v>
      </c>
      <c r="N80" s="1"/>
      <c r="O80" s="1"/>
      <c r="P80" s="1"/>
      <c r="Q80" s="1" t="s">
        <v>73</v>
      </c>
      <c r="R80" s="1" t="s">
        <v>73</v>
      </c>
      <c r="S80" s="1" t="s">
        <v>73</v>
      </c>
      <c r="T80" s="79"/>
      <c r="U80" s="79"/>
      <c r="V80" s="1"/>
      <c r="W80" s="1"/>
      <c r="X80" s="1"/>
      <c r="Y80" s="1"/>
      <c r="Z80" s="1" t="s">
        <v>73</v>
      </c>
      <c r="AA80" s="1" t="s">
        <v>73</v>
      </c>
      <c r="AC80" s="1">
        <v>2</v>
      </c>
      <c r="AE80" s="1"/>
      <c r="AF80" s="1"/>
      <c r="AG80">
        <v>2</v>
      </c>
      <c r="AK80" s="1" t="s">
        <v>73</v>
      </c>
      <c r="AL80" s="1" t="s">
        <v>72</v>
      </c>
      <c r="AM80">
        <v>6</v>
      </c>
      <c r="AN80" s="1" t="s">
        <v>73</v>
      </c>
      <c r="AP80" s="1" t="s">
        <v>73</v>
      </c>
      <c r="AR80" s="1" t="s">
        <v>73</v>
      </c>
      <c r="AT80" t="s">
        <v>73</v>
      </c>
      <c r="AW80" s="1">
        <v>25</v>
      </c>
      <c r="AX80" s="1">
        <v>8</v>
      </c>
      <c r="AY80" s="1" t="s">
        <v>73</v>
      </c>
      <c r="AZ80" s="1" t="s">
        <v>73</v>
      </c>
      <c r="BA80" s="126" t="s">
        <v>73</v>
      </c>
      <c r="BB80" s="1">
        <v>1978</v>
      </c>
      <c r="BC80" s="100">
        <v>45656.754988425928</v>
      </c>
      <c r="BD80" s="85">
        <v>45656.713321759256</v>
      </c>
      <c r="BE80" s="1" t="s">
        <v>73</v>
      </c>
      <c r="BF80" s="1" t="s">
        <v>73</v>
      </c>
      <c r="BG80" s="1" t="s">
        <v>73</v>
      </c>
      <c r="BH80" s="1" t="s">
        <v>73</v>
      </c>
      <c r="BI80" s="1" t="s">
        <v>73</v>
      </c>
      <c r="BJ80" s="1" t="s">
        <v>73</v>
      </c>
      <c r="BK80" s="1"/>
      <c r="BL80" s="1" t="s">
        <v>73</v>
      </c>
      <c r="BM80" s="1" t="s">
        <v>73</v>
      </c>
      <c r="BN80" s="1" t="s">
        <v>73</v>
      </c>
      <c r="BO80" s="1" t="s">
        <v>73</v>
      </c>
      <c r="BP80" s="1" t="s">
        <v>73</v>
      </c>
      <c r="BQ80" s="1" t="s">
        <v>73</v>
      </c>
      <c r="BR80" s="1"/>
      <c r="BS80" s="1" t="s">
        <v>73</v>
      </c>
      <c r="BT80" s="1" t="s">
        <v>73</v>
      </c>
      <c r="BU80" s="1" t="s">
        <v>73</v>
      </c>
      <c r="BV80" s="1" t="s">
        <v>73</v>
      </c>
      <c r="BW80" s="1"/>
      <c r="CB80"/>
      <c r="CC80"/>
    </row>
    <row r="81" spans="1:81" ht="16" x14ac:dyDescent="0.2">
      <c r="A81" t="s">
        <v>138</v>
      </c>
      <c r="B81" t="s">
        <v>292</v>
      </c>
      <c r="C81" t="s">
        <v>293</v>
      </c>
      <c r="D81" s="1" t="s">
        <v>73</v>
      </c>
      <c r="E81" s="1" t="s">
        <v>72</v>
      </c>
      <c r="F81" s="1" t="s">
        <v>72</v>
      </c>
      <c r="G81" s="1" t="s">
        <v>73</v>
      </c>
      <c r="H81" s="1"/>
      <c r="I81" s="1">
        <v>14</v>
      </c>
      <c r="L81">
        <v>4</v>
      </c>
      <c r="N81" s="1"/>
      <c r="O81" s="1"/>
      <c r="P81" s="1"/>
      <c r="Q81" s="1" t="s">
        <v>73</v>
      </c>
      <c r="R81" s="1" t="s">
        <v>73</v>
      </c>
      <c r="S81" s="1" t="s">
        <v>73</v>
      </c>
      <c r="T81" s="79"/>
      <c r="U81" s="79"/>
      <c r="V81" s="1"/>
      <c r="W81" s="1"/>
      <c r="X81" s="1"/>
      <c r="Y81" s="1"/>
      <c r="Z81" s="1" t="s">
        <v>72</v>
      </c>
      <c r="AA81" s="1" t="s">
        <v>73</v>
      </c>
      <c r="AC81" s="1">
        <v>5</v>
      </c>
      <c r="AE81" s="1"/>
      <c r="AF81" s="1"/>
      <c r="AG81">
        <v>5</v>
      </c>
      <c r="AK81" s="1" t="s">
        <v>73</v>
      </c>
      <c r="AL81" s="1" t="s">
        <v>72</v>
      </c>
      <c r="AM81">
        <v>6</v>
      </c>
      <c r="AN81" s="1" t="s">
        <v>72</v>
      </c>
      <c r="AO81">
        <v>6</v>
      </c>
      <c r="AP81" s="1" t="s">
        <v>73</v>
      </c>
      <c r="AR81" s="1" t="s">
        <v>72</v>
      </c>
      <c r="AS81">
        <v>6</v>
      </c>
      <c r="AT81" t="s">
        <v>72</v>
      </c>
      <c r="AU81">
        <v>2</v>
      </c>
      <c r="AV81">
        <v>2</v>
      </c>
      <c r="AW81" s="1">
        <v>65</v>
      </c>
      <c r="AX81" s="1">
        <v>15</v>
      </c>
      <c r="AY81" s="1" t="s">
        <v>72</v>
      </c>
      <c r="AZ81" s="1" t="s">
        <v>73</v>
      </c>
      <c r="BA81" s="126" t="s">
        <v>73</v>
      </c>
      <c r="BB81" s="1">
        <v>1971</v>
      </c>
      <c r="BC81" s="100">
        <v>45655.714282407411</v>
      </c>
      <c r="BD81" s="85">
        <v>45655.672615740739</v>
      </c>
      <c r="BE81" s="1" t="s">
        <v>293</v>
      </c>
      <c r="BF81" s="1" t="s">
        <v>78</v>
      </c>
      <c r="BG81" s="1" t="s">
        <v>76</v>
      </c>
      <c r="BH81" s="1" t="s">
        <v>252</v>
      </c>
      <c r="BI81" s="1" t="s">
        <v>337</v>
      </c>
      <c r="BJ81" s="1" t="s">
        <v>337</v>
      </c>
      <c r="BK81" s="1">
        <v>15</v>
      </c>
      <c r="BL81" s="1" t="s">
        <v>73</v>
      </c>
      <c r="BM81" s="1" t="s">
        <v>73</v>
      </c>
      <c r="BN81" s="1" t="s">
        <v>73</v>
      </c>
      <c r="BO81" s="1" t="s">
        <v>73</v>
      </c>
      <c r="BP81" s="1" t="s">
        <v>73</v>
      </c>
      <c r="BQ81" s="1" t="s">
        <v>73</v>
      </c>
      <c r="BR81" s="1"/>
      <c r="BS81" s="1" t="s">
        <v>73</v>
      </c>
      <c r="BT81" s="1" t="s">
        <v>73</v>
      </c>
      <c r="BU81" s="1" t="s">
        <v>73</v>
      </c>
      <c r="BV81" s="1" t="s">
        <v>73</v>
      </c>
      <c r="BW81" s="1"/>
      <c r="CB81"/>
      <c r="CC81"/>
    </row>
    <row r="82" spans="1:81" ht="80" x14ac:dyDescent="0.2">
      <c r="A82" t="s">
        <v>138</v>
      </c>
      <c r="B82" t="s">
        <v>329</v>
      </c>
      <c r="C82" t="s">
        <v>330</v>
      </c>
      <c r="D82" s="1" t="s">
        <v>73</v>
      </c>
      <c r="E82" s="1" t="s">
        <v>72</v>
      </c>
      <c r="F82" s="1" t="s">
        <v>72</v>
      </c>
      <c r="G82" s="1" t="s">
        <v>73</v>
      </c>
      <c r="H82" s="1"/>
      <c r="I82" s="1">
        <v>9</v>
      </c>
      <c r="N82" s="1"/>
      <c r="O82" s="1"/>
      <c r="P82" s="1"/>
      <c r="Q82" s="1" t="s">
        <v>73</v>
      </c>
      <c r="R82" s="1" t="s">
        <v>73</v>
      </c>
      <c r="S82" s="1" t="s">
        <v>73</v>
      </c>
      <c r="T82" s="79"/>
      <c r="U82" s="79"/>
      <c r="V82" s="1"/>
      <c r="W82" s="1"/>
      <c r="X82" s="1"/>
      <c r="Y82" s="1"/>
      <c r="Z82" s="1" t="s">
        <v>73</v>
      </c>
      <c r="AA82" s="1" t="s">
        <v>73</v>
      </c>
      <c r="AC82" s="1">
        <v>2</v>
      </c>
      <c r="AD82">
        <v>2</v>
      </c>
      <c r="AE82" s="1"/>
      <c r="AF82" s="1">
        <v>1</v>
      </c>
      <c r="AG82">
        <v>3</v>
      </c>
      <c r="AH82">
        <v>1</v>
      </c>
      <c r="AJ82">
        <v>1</v>
      </c>
      <c r="AK82" s="1" t="s">
        <v>73</v>
      </c>
      <c r="AL82" s="1" t="s">
        <v>73</v>
      </c>
      <c r="AN82" s="1" t="s">
        <v>73</v>
      </c>
      <c r="AP82" s="1" t="s">
        <v>73</v>
      </c>
      <c r="AR82" s="1" t="s">
        <v>73</v>
      </c>
      <c r="AT82" t="s">
        <v>73</v>
      </c>
      <c r="AW82" s="1">
        <v>80</v>
      </c>
      <c r="AX82" s="1">
        <v>20</v>
      </c>
      <c r="AY82" s="1" t="s">
        <v>72</v>
      </c>
      <c r="AZ82" s="1" t="s">
        <v>73</v>
      </c>
      <c r="BA82" s="126" t="s">
        <v>338</v>
      </c>
      <c r="BB82" s="1">
        <v>1969</v>
      </c>
      <c r="BC82" s="100">
        <v>45655.680289351854</v>
      </c>
      <c r="BD82" s="85">
        <v>45655.654629629629</v>
      </c>
      <c r="BE82" s="1" t="s">
        <v>73</v>
      </c>
      <c r="BF82" s="1" t="s">
        <v>73</v>
      </c>
      <c r="BG82" s="1" t="s">
        <v>73</v>
      </c>
      <c r="BH82" s="1" t="s">
        <v>73</v>
      </c>
      <c r="BI82" s="1" t="s">
        <v>73</v>
      </c>
      <c r="BJ82" s="1" t="s">
        <v>73</v>
      </c>
      <c r="BK82" s="1"/>
      <c r="BL82" s="1" t="s">
        <v>73</v>
      </c>
      <c r="BM82" s="1" t="s">
        <v>73</v>
      </c>
      <c r="BN82" s="1" t="s">
        <v>73</v>
      </c>
      <c r="BO82" s="1" t="s">
        <v>73</v>
      </c>
      <c r="BP82" s="1" t="s">
        <v>73</v>
      </c>
      <c r="BQ82" s="1" t="s">
        <v>73</v>
      </c>
      <c r="BR82" s="1"/>
      <c r="BS82" s="1" t="s">
        <v>73</v>
      </c>
      <c r="BT82" s="1" t="s">
        <v>73</v>
      </c>
      <c r="BU82" s="1" t="s">
        <v>73</v>
      </c>
      <c r="BV82" s="1" t="s">
        <v>73</v>
      </c>
      <c r="BW82" s="1"/>
      <c r="CB82"/>
      <c r="CC82"/>
    </row>
    <row r="83" spans="1:81" ht="16" x14ac:dyDescent="0.2">
      <c r="A83" t="s">
        <v>138</v>
      </c>
      <c r="B83" t="s">
        <v>323</v>
      </c>
      <c r="C83" t="s">
        <v>324</v>
      </c>
      <c r="D83" s="1" t="s">
        <v>73</v>
      </c>
      <c r="E83" s="1" t="s">
        <v>72</v>
      </c>
      <c r="F83" s="1" t="s">
        <v>72</v>
      </c>
      <c r="G83" s="1" t="s">
        <v>73</v>
      </c>
      <c r="H83" s="1"/>
      <c r="I83" s="1">
        <v>3</v>
      </c>
      <c r="N83" s="1">
        <v>3</v>
      </c>
      <c r="O83" s="1"/>
      <c r="P83" s="1"/>
      <c r="Q83" s="1" t="s">
        <v>73</v>
      </c>
      <c r="R83" s="1" t="s">
        <v>73</v>
      </c>
      <c r="S83" s="1" t="s">
        <v>73</v>
      </c>
      <c r="T83" s="79">
        <v>1</v>
      </c>
      <c r="U83" s="79"/>
      <c r="V83" s="1"/>
      <c r="W83" s="1">
        <v>1</v>
      </c>
      <c r="X83" s="1"/>
      <c r="Y83" s="1"/>
      <c r="Z83" s="1" t="s">
        <v>73</v>
      </c>
      <c r="AA83" s="1" t="s">
        <v>73</v>
      </c>
      <c r="AC83" s="1">
        <v>2</v>
      </c>
      <c r="AE83" s="1"/>
      <c r="AF83" s="1"/>
      <c r="AG83">
        <v>2</v>
      </c>
      <c r="AK83" s="1" t="s">
        <v>73</v>
      </c>
      <c r="AL83" s="1" t="s">
        <v>72</v>
      </c>
      <c r="AM83">
        <v>6</v>
      </c>
      <c r="AN83" s="1" t="s">
        <v>72</v>
      </c>
      <c r="AO83">
        <v>6</v>
      </c>
      <c r="AP83" s="1" t="s">
        <v>73</v>
      </c>
      <c r="AR83" s="1" t="s">
        <v>72</v>
      </c>
      <c r="AS83">
        <v>6</v>
      </c>
      <c r="AT83" t="s">
        <v>73</v>
      </c>
      <c r="AW83" s="1">
        <v>25</v>
      </c>
      <c r="AX83" s="1">
        <v>0</v>
      </c>
      <c r="AY83" s="1" t="s">
        <v>73</v>
      </c>
      <c r="AZ83" s="1" t="s">
        <v>73</v>
      </c>
      <c r="BA83" s="126" t="s">
        <v>73</v>
      </c>
      <c r="BB83" s="1">
        <v>1962</v>
      </c>
      <c r="BC83" s="100">
        <v>45655.488310185188</v>
      </c>
      <c r="BD83" s="85">
        <v>45655.446643518517</v>
      </c>
      <c r="BE83" s="1" t="s">
        <v>73</v>
      </c>
      <c r="BF83" s="1" t="s">
        <v>73</v>
      </c>
      <c r="BG83" s="1" t="s">
        <v>73</v>
      </c>
      <c r="BH83" s="1" t="s">
        <v>73</v>
      </c>
      <c r="BI83" s="1" t="s">
        <v>73</v>
      </c>
      <c r="BJ83" s="1" t="s">
        <v>73</v>
      </c>
      <c r="BK83" s="1"/>
      <c r="BL83" s="1" t="s">
        <v>73</v>
      </c>
      <c r="BM83" s="1" t="s">
        <v>73</v>
      </c>
      <c r="BN83" s="1" t="s">
        <v>73</v>
      </c>
      <c r="BO83" s="1" t="s">
        <v>73</v>
      </c>
      <c r="BP83" s="1" t="s">
        <v>73</v>
      </c>
      <c r="BQ83" s="1" t="s">
        <v>73</v>
      </c>
      <c r="BR83" s="1"/>
      <c r="BS83" s="1" t="s">
        <v>73</v>
      </c>
      <c r="BT83" s="1" t="s">
        <v>73</v>
      </c>
      <c r="BU83" s="1" t="s">
        <v>73</v>
      </c>
      <c r="BV83" s="1" t="s">
        <v>73</v>
      </c>
      <c r="BW83" s="1"/>
      <c r="CB83"/>
      <c r="CC83"/>
    </row>
    <row r="84" spans="1:81" ht="16" x14ac:dyDescent="0.2">
      <c r="A84" t="s">
        <v>138</v>
      </c>
      <c r="B84" t="s">
        <v>208</v>
      </c>
      <c r="C84" t="s">
        <v>209</v>
      </c>
      <c r="D84" s="1" t="s">
        <v>72</v>
      </c>
      <c r="E84" s="1" t="s">
        <v>73</v>
      </c>
      <c r="F84" s="1" t="s">
        <v>72</v>
      </c>
      <c r="G84" s="1" t="s">
        <v>73</v>
      </c>
      <c r="H84" s="1"/>
      <c r="I84" s="1"/>
      <c r="N84" s="1"/>
      <c r="O84" s="1"/>
      <c r="P84" s="1"/>
      <c r="Q84" s="1" t="s">
        <v>73</v>
      </c>
      <c r="R84" s="1" t="s">
        <v>73</v>
      </c>
      <c r="S84" s="1" t="s">
        <v>73</v>
      </c>
      <c r="T84" s="79"/>
      <c r="U84" s="79"/>
      <c r="V84" s="1"/>
      <c r="W84" s="1"/>
      <c r="X84" s="1"/>
      <c r="Y84" s="1"/>
      <c r="Z84" s="1" t="s">
        <v>73</v>
      </c>
      <c r="AA84" s="1" t="s">
        <v>73</v>
      </c>
      <c r="AC84" s="1"/>
      <c r="AE84" s="1"/>
      <c r="AF84" s="1"/>
      <c r="AK84" s="1" t="s">
        <v>73</v>
      </c>
      <c r="AL84" s="1" t="s">
        <v>73</v>
      </c>
      <c r="AN84" s="1" t="s">
        <v>73</v>
      </c>
      <c r="AP84" s="1" t="s">
        <v>73</v>
      </c>
      <c r="AR84" s="1" t="s">
        <v>73</v>
      </c>
      <c r="AT84" t="s">
        <v>73</v>
      </c>
      <c r="AW84" s="1">
        <v>12</v>
      </c>
      <c r="AX84" s="1">
        <v>1</v>
      </c>
      <c r="AY84" s="1" t="s">
        <v>73</v>
      </c>
      <c r="AZ84" s="1" t="s">
        <v>73</v>
      </c>
      <c r="BA84" s="126" t="s">
        <v>73</v>
      </c>
      <c r="BB84" s="1">
        <v>1960</v>
      </c>
      <c r="BC84" s="100">
        <v>45654.767222222225</v>
      </c>
      <c r="BD84" s="85">
        <v>45654.725555555553</v>
      </c>
      <c r="BE84" s="1" t="s">
        <v>73</v>
      </c>
      <c r="BF84" s="1" t="s">
        <v>73</v>
      </c>
      <c r="BG84" s="1" t="s">
        <v>73</v>
      </c>
      <c r="BH84" s="1" t="s">
        <v>73</v>
      </c>
      <c r="BI84" s="1" t="s">
        <v>73</v>
      </c>
      <c r="BJ84" s="1" t="s">
        <v>73</v>
      </c>
      <c r="BK84" s="1"/>
      <c r="BL84" s="1" t="s">
        <v>73</v>
      </c>
      <c r="BM84" s="1" t="s">
        <v>73</v>
      </c>
      <c r="BN84" s="1" t="s">
        <v>73</v>
      </c>
      <c r="BO84" s="1" t="s">
        <v>73</v>
      </c>
      <c r="BP84" s="1" t="s">
        <v>73</v>
      </c>
      <c r="BQ84" s="1" t="s">
        <v>73</v>
      </c>
      <c r="BR84" s="1"/>
      <c r="BS84" s="1" t="s">
        <v>73</v>
      </c>
      <c r="BT84" s="1" t="s">
        <v>73</v>
      </c>
      <c r="BU84" s="1" t="s">
        <v>73</v>
      </c>
      <c r="BV84" s="1" t="s">
        <v>73</v>
      </c>
      <c r="BW84" s="1"/>
      <c r="CB84"/>
      <c r="CC84"/>
    </row>
    <row r="85" spans="1:81" ht="16" x14ac:dyDescent="0.2">
      <c r="A85" t="s">
        <v>138</v>
      </c>
      <c r="B85" t="s">
        <v>318</v>
      </c>
      <c r="C85" t="s">
        <v>319</v>
      </c>
      <c r="D85" s="1" t="s">
        <v>73</v>
      </c>
      <c r="E85" s="1" t="s">
        <v>72</v>
      </c>
      <c r="F85" s="1" t="s">
        <v>72</v>
      </c>
      <c r="G85" s="1" t="s">
        <v>73</v>
      </c>
      <c r="H85" s="1"/>
      <c r="I85" s="1">
        <v>14</v>
      </c>
      <c r="J85">
        <v>8</v>
      </c>
      <c r="L85">
        <v>4</v>
      </c>
      <c r="N85" s="1">
        <v>13</v>
      </c>
      <c r="O85" s="1">
        <v>6</v>
      </c>
      <c r="P85" s="1"/>
      <c r="Q85" s="1" t="s">
        <v>73</v>
      </c>
      <c r="R85" s="1" t="s">
        <v>73</v>
      </c>
      <c r="S85" s="1" t="s">
        <v>73</v>
      </c>
      <c r="T85" s="79">
        <v>1</v>
      </c>
      <c r="U85" s="79">
        <v>2</v>
      </c>
      <c r="V85" s="1">
        <v>1</v>
      </c>
      <c r="W85" s="1">
        <v>1</v>
      </c>
      <c r="X85" s="1">
        <v>2</v>
      </c>
      <c r="Y85" s="1">
        <v>1</v>
      </c>
      <c r="Z85" s="1" t="s">
        <v>73</v>
      </c>
      <c r="AA85" s="1" t="s">
        <v>73</v>
      </c>
      <c r="AC85" s="1">
        <v>3</v>
      </c>
      <c r="AE85" s="1"/>
      <c r="AF85" s="1"/>
      <c r="AG85">
        <v>3</v>
      </c>
      <c r="AK85" s="1" t="s">
        <v>72</v>
      </c>
      <c r="AL85" s="1" t="s">
        <v>72</v>
      </c>
      <c r="AM85">
        <v>6</v>
      </c>
      <c r="AN85" s="1" t="s">
        <v>72</v>
      </c>
      <c r="AO85">
        <v>6</v>
      </c>
      <c r="AP85" s="1" t="s">
        <v>73</v>
      </c>
      <c r="AR85" s="1" t="s">
        <v>73</v>
      </c>
      <c r="AT85" t="s">
        <v>72</v>
      </c>
      <c r="AU85">
        <v>2</v>
      </c>
      <c r="AV85">
        <v>3</v>
      </c>
      <c r="AW85" s="1">
        <v>125</v>
      </c>
      <c r="AX85" s="1">
        <v>22</v>
      </c>
      <c r="AY85" s="1" t="s">
        <v>72</v>
      </c>
      <c r="AZ85" s="1" t="s">
        <v>72</v>
      </c>
      <c r="BA85" s="126" t="s">
        <v>73</v>
      </c>
      <c r="BB85" s="1">
        <v>1956</v>
      </c>
      <c r="BC85" s="100">
        <v>45653.888425925928</v>
      </c>
      <c r="BD85" s="85">
        <v>45653.846759259257</v>
      </c>
      <c r="BE85" s="1" t="s">
        <v>73</v>
      </c>
      <c r="BF85" s="1" t="s">
        <v>73</v>
      </c>
      <c r="BG85" s="1" t="s">
        <v>73</v>
      </c>
      <c r="BH85" s="1" t="s">
        <v>73</v>
      </c>
      <c r="BI85" s="1" t="s">
        <v>73</v>
      </c>
      <c r="BJ85" s="1" t="s">
        <v>73</v>
      </c>
      <c r="BK85" s="1"/>
      <c r="BL85" s="1" t="s">
        <v>73</v>
      </c>
      <c r="BM85" s="1" t="s">
        <v>73</v>
      </c>
      <c r="BN85" s="1" t="s">
        <v>73</v>
      </c>
      <c r="BO85" s="1" t="s">
        <v>73</v>
      </c>
      <c r="BP85" s="1" t="s">
        <v>73</v>
      </c>
      <c r="BQ85" s="1" t="s">
        <v>73</v>
      </c>
      <c r="BR85" s="1"/>
      <c r="BS85" s="1" t="s">
        <v>73</v>
      </c>
      <c r="BT85" s="1" t="s">
        <v>73</v>
      </c>
      <c r="BU85" s="1" t="s">
        <v>73</v>
      </c>
      <c r="BV85" s="1" t="s">
        <v>73</v>
      </c>
      <c r="BW85" s="1"/>
      <c r="CB85"/>
      <c r="CC85"/>
    </row>
    <row r="86" spans="1:81" ht="16" x14ac:dyDescent="0.2">
      <c r="A86" t="s">
        <v>138</v>
      </c>
      <c r="B86" t="s">
        <v>314</v>
      </c>
      <c r="C86" t="s">
        <v>315</v>
      </c>
      <c r="D86" s="1" t="s">
        <v>73</v>
      </c>
      <c r="E86" s="1" t="s">
        <v>72</v>
      </c>
      <c r="F86" s="1" t="s">
        <v>72</v>
      </c>
      <c r="G86" s="1" t="s">
        <v>73</v>
      </c>
      <c r="H86" s="1"/>
      <c r="I86" s="1">
        <v>8</v>
      </c>
      <c r="J86">
        <v>6</v>
      </c>
      <c r="L86">
        <v>6</v>
      </c>
      <c r="M86">
        <v>6</v>
      </c>
      <c r="N86" s="1"/>
      <c r="O86" s="1"/>
      <c r="P86" s="1"/>
      <c r="Q86" s="1" t="s">
        <v>73</v>
      </c>
      <c r="R86" s="1" t="s">
        <v>73</v>
      </c>
      <c r="S86" s="1" t="s">
        <v>73</v>
      </c>
      <c r="T86" s="79"/>
      <c r="U86" s="79"/>
      <c r="V86" s="1"/>
      <c r="W86" s="1"/>
      <c r="X86" s="1"/>
      <c r="Y86" s="1"/>
      <c r="Z86" s="1" t="s">
        <v>73</v>
      </c>
      <c r="AA86" s="1" t="s">
        <v>73</v>
      </c>
      <c r="AC86" s="1">
        <v>4</v>
      </c>
      <c r="AE86" s="1"/>
      <c r="AF86" s="1"/>
      <c r="AG86">
        <v>4</v>
      </c>
      <c r="AK86" s="1" t="s">
        <v>73</v>
      </c>
      <c r="AL86" s="1" t="s">
        <v>73</v>
      </c>
      <c r="AN86" s="1" t="s">
        <v>73</v>
      </c>
      <c r="AP86" s="1" t="s">
        <v>73</v>
      </c>
      <c r="AR86" s="1" t="s">
        <v>73</v>
      </c>
      <c r="AT86" t="s">
        <v>73</v>
      </c>
      <c r="AW86" s="1">
        <v>100</v>
      </c>
      <c r="AX86" s="1">
        <v>20</v>
      </c>
      <c r="AY86" s="1" t="s">
        <v>73</v>
      </c>
      <c r="AZ86" s="1" t="s">
        <v>73</v>
      </c>
      <c r="BA86" s="126" t="s">
        <v>73</v>
      </c>
      <c r="BB86" s="1">
        <v>1953</v>
      </c>
      <c r="BC86" s="100">
        <v>45653.865555555552</v>
      </c>
      <c r="BD86" s="85">
        <v>45653.823888888888</v>
      </c>
      <c r="BE86" s="1" t="s">
        <v>73</v>
      </c>
      <c r="BF86" s="1" t="s">
        <v>73</v>
      </c>
      <c r="BG86" s="1" t="s">
        <v>73</v>
      </c>
      <c r="BH86" s="1" t="s">
        <v>73</v>
      </c>
      <c r="BI86" s="1" t="s">
        <v>73</v>
      </c>
      <c r="BJ86" s="1" t="s">
        <v>73</v>
      </c>
      <c r="BK86" s="1"/>
      <c r="BL86" s="1" t="s">
        <v>73</v>
      </c>
      <c r="BM86" s="1" t="s">
        <v>73</v>
      </c>
      <c r="BN86" s="1" t="s">
        <v>73</v>
      </c>
      <c r="BO86" s="1" t="s">
        <v>73</v>
      </c>
      <c r="BP86" s="1" t="s">
        <v>73</v>
      </c>
      <c r="BQ86" s="1" t="s">
        <v>73</v>
      </c>
      <c r="BR86" s="1"/>
      <c r="BS86" s="1" t="s">
        <v>73</v>
      </c>
      <c r="BT86" s="1" t="s">
        <v>73</v>
      </c>
      <c r="BU86" s="1" t="s">
        <v>73</v>
      </c>
      <c r="BV86" s="1" t="s">
        <v>73</v>
      </c>
      <c r="BW86" s="1"/>
      <c r="CB86"/>
      <c r="CC86"/>
    </row>
    <row r="87" spans="1:81" ht="16" x14ac:dyDescent="0.2">
      <c r="A87" t="s">
        <v>138</v>
      </c>
      <c r="B87" t="s">
        <v>311</v>
      </c>
      <c r="C87" t="s">
        <v>312</v>
      </c>
      <c r="D87" s="1" t="s">
        <v>73</v>
      </c>
      <c r="E87" s="1" t="s">
        <v>72</v>
      </c>
      <c r="F87" s="1" t="s">
        <v>73</v>
      </c>
      <c r="G87" s="1" t="s">
        <v>73</v>
      </c>
      <c r="H87" s="1"/>
      <c r="I87" s="1">
        <v>4</v>
      </c>
      <c r="J87">
        <v>6</v>
      </c>
      <c r="L87">
        <v>10</v>
      </c>
      <c r="M87">
        <v>3</v>
      </c>
      <c r="N87" s="1"/>
      <c r="O87" s="1"/>
      <c r="P87" s="1"/>
      <c r="Q87" s="1" t="s">
        <v>73</v>
      </c>
      <c r="R87" s="1" t="s">
        <v>73</v>
      </c>
      <c r="S87" s="1" t="s">
        <v>73</v>
      </c>
      <c r="T87" s="79"/>
      <c r="U87" s="79"/>
      <c r="V87" s="1"/>
      <c r="W87" s="1"/>
      <c r="X87" s="1"/>
      <c r="Y87" s="1"/>
      <c r="Z87" s="1" t="s">
        <v>73</v>
      </c>
      <c r="AA87" s="1" t="s">
        <v>73</v>
      </c>
      <c r="AC87" s="1"/>
      <c r="AE87" s="1"/>
      <c r="AF87" s="1"/>
      <c r="AK87" s="1" t="s">
        <v>73</v>
      </c>
      <c r="AL87" s="1" t="s">
        <v>72</v>
      </c>
      <c r="AM87">
        <v>6</v>
      </c>
      <c r="AN87" s="1" t="s">
        <v>72</v>
      </c>
      <c r="AO87">
        <v>6</v>
      </c>
      <c r="AP87" s="1" t="s">
        <v>73</v>
      </c>
      <c r="AR87" s="1" t="s">
        <v>72</v>
      </c>
      <c r="AS87">
        <v>6</v>
      </c>
      <c r="AT87" t="s">
        <v>72</v>
      </c>
      <c r="AU87">
        <v>2</v>
      </c>
      <c r="AV87">
        <v>2</v>
      </c>
      <c r="AW87" s="1">
        <v>75</v>
      </c>
      <c r="AX87" s="1">
        <v>13</v>
      </c>
      <c r="AY87" s="1" t="s">
        <v>73</v>
      </c>
      <c r="AZ87" s="1" t="s">
        <v>72</v>
      </c>
      <c r="BA87" s="126" t="s">
        <v>73</v>
      </c>
      <c r="BB87" s="1">
        <v>1942</v>
      </c>
      <c r="BC87" s="100">
        <v>45653.437048611115</v>
      </c>
      <c r="BD87" s="85">
        <v>45653.395381944443</v>
      </c>
      <c r="BE87" s="1" t="s">
        <v>73</v>
      </c>
      <c r="BF87" s="1" t="s">
        <v>73</v>
      </c>
      <c r="BG87" s="1" t="s">
        <v>73</v>
      </c>
      <c r="BH87" s="1" t="s">
        <v>73</v>
      </c>
      <c r="BI87" s="1" t="s">
        <v>73</v>
      </c>
      <c r="BJ87" s="1" t="s">
        <v>73</v>
      </c>
      <c r="BK87" s="1"/>
      <c r="BL87" s="1" t="s">
        <v>73</v>
      </c>
      <c r="BM87" s="1" t="s">
        <v>73</v>
      </c>
      <c r="BN87" s="1" t="s">
        <v>73</v>
      </c>
      <c r="BO87" s="1" t="s">
        <v>73</v>
      </c>
      <c r="BP87" s="1" t="s">
        <v>73</v>
      </c>
      <c r="BQ87" s="1" t="s">
        <v>73</v>
      </c>
      <c r="BR87" s="1"/>
      <c r="BS87" s="1" t="s">
        <v>73</v>
      </c>
      <c r="BT87" s="1" t="s">
        <v>73</v>
      </c>
      <c r="BU87" s="1" t="s">
        <v>73</v>
      </c>
      <c r="BV87" s="1" t="s">
        <v>73</v>
      </c>
      <c r="BW87" s="1"/>
      <c r="CB87"/>
      <c r="CC87"/>
    </row>
    <row r="88" spans="1:81" ht="16" x14ac:dyDescent="0.2">
      <c r="A88" t="s">
        <v>138</v>
      </c>
      <c r="B88" t="s">
        <v>306</v>
      </c>
      <c r="C88" t="s">
        <v>307</v>
      </c>
      <c r="D88" s="1" t="s">
        <v>73</v>
      </c>
      <c r="E88" s="1" t="s">
        <v>72</v>
      </c>
      <c r="F88" s="1" t="s">
        <v>73</v>
      </c>
      <c r="G88" s="1" t="s">
        <v>73</v>
      </c>
      <c r="H88" s="1"/>
      <c r="I88" s="1">
        <v>4</v>
      </c>
      <c r="N88" s="1"/>
      <c r="O88" s="1"/>
      <c r="P88" s="1"/>
      <c r="Q88" s="1" t="s">
        <v>73</v>
      </c>
      <c r="R88" s="1" t="s">
        <v>73</v>
      </c>
      <c r="S88" s="1" t="s">
        <v>73</v>
      </c>
      <c r="T88" s="79"/>
      <c r="U88" s="79"/>
      <c r="V88" s="1"/>
      <c r="W88" s="1"/>
      <c r="X88" s="1"/>
      <c r="Y88" s="1"/>
      <c r="Z88" s="1" t="s">
        <v>73</v>
      </c>
      <c r="AA88" s="1" t="s">
        <v>73</v>
      </c>
      <c r="AC88" s="1"/>
      <c r="AE88" s="1"/>
      <c r="AF88" s="1"/>
      <c r="AK88" s="1" t="s">
        <v>73</v>
      </c>
      <c r="AL88" s="1" t="s">
        <v>73</v>
      </c>
      <c r="AN88" s="1" t="s">
        <v>73</v>
      </c>
      <c r="AP88" s="1" t="s">
        <v>73</v>
      </c>
      <c r="AR88" s="1" t="s">
        <v>73</v>
      </c>
      <c r="AT88" t="s">
        <v>73</v>
      </c>
      <c r="AW88" s="1">
        <v>25</v>
      </c>
      <c r="AX88" s="1">
        <v>5</v>
      </c>
      <c r="AY88" s="1" t="s">
        <v>73</v>
      </c>
      <c r="AZ88" s="1" t="s">
        <v>73</v>
      </c>
      <c r="BA88" s="126" t="s">
        <v>308</v>
      </c>
      <c r="BB88" s="1">
        <v>1941</v>
      </c>
      <c r="BC88" s="100">
        <v>45653.435046296298</v>
      </c>
      <c r="BD88" s="85">
        <v>45653.393379629626</v>
      </c>
      <c r="BE88" s="1" t="s">
        <v>73</v>
      </c>
      <c r="BF88" s="1" t="s">
        <v>73</v>
      </c>
      <c r="BG88" s="1" t="s">
        <v>73</v>
      </c>
      <c r="BH88" s="1" t="s">
        <v>73</v>
      </c>
      <c r="BI88" s="1" t="s">
        <v>73</v>
      </c>
      <c r="BJ88" s="1" t="s">
        <v>73</v>
      </c>
      <c r="BK88" s="1"/>
      <c r="BL88" s="1" t="s">
        <v>73</v>
      </c>
      <c r="BM88" s="1" t="s">
        <v>73</v>
      </c>
      <c r="BN88" s="1" t="s">
        <v>73</v>
      </c>
      <c r="BO88" s="1" t="s">
        <v>73</v>
      </c>
      <c r="BP88" s="1" t="s">
        <v>73</v>
      </c>
      <c r="BQ88" s="1" t="s">
        <v>73</v>
      </c>
      <c r="BR88" s="1"/>
      <c r="BS88" s="1" t="s">
        <v>73</v>
      </c>
      <c r="BT88" s="1" t="s">
        <v>73</v>
      </c>
      <c r="BU88" s="1" t="s">
        <v>73</v>
      </c>
      <c r="BV88" s="1" t="s">
        <v>73</v>
      </c>
      <c r="BW88" s="1"/>
      <c r="CB88"/>
      <c r="CC88"/>
    </row>
    <row r="89" spans="1:81" ht="16" x14ac:dyDescent="0.2">
      <c r="A89" t="s">
        <v>138</v>
      </c>
      <c r="B89" t="s">
        <v>288</v>
      </c>
      <c r="C89" t="s">
        <v>289</v>
      </c>
      <c r="D89" s="1" t="s">
        <v>73</v>
      </c>
      <c r="E89" s="1" t="s">
        <v>72</v>
      </c>
      <c r="F89" s="1" t="s">
        <v>72</v>
      </c>
      <c r="G89" s="1" t="s">
        <v>72</v>
      </c>
      <c r="H89" s="1" t="s">
        <v>74</v>
      </c>
      <c r="I89" s="1">
        <v>10</v>
      </c>
      <c r="J89">
        <v>9</v>
      </c>
      <c r="L89">
        <v>3</v>
      </c>
      <c r="N89" s="1"/>
      <c r="O89" s="1"/>
      <c r="P89" s="1"/>
      <c r="Q89" s="1" t="s">
        <v>73</v>
      </c>
      <c r="R89" s="1" t="s">
        <v>73</v>
      </c>
      <c r="S89" s="1" t="s">
        <v>73</v>
      </c>
      <c r="T89" s="79"/>
      <c r="U89" s="79"/>
      <c r="V89" s="1"/>
      <c r="W89" s="1"/>
      <c r="X89" s="1"/>
      <c r="Y89" s="1"/>
      <c r="Z89" s="1" t="s">
        <v>73</v>
      </c>
      <c r="AA89" s="1" t="s">
        <v>73</v>
      </c>
      <c r="AB89">
        <v>4</v>
      </c>
      <c r="AC89" s="1">
        <v>9</v>
      </c>
      <c r="AD89">
        <v>4</v>
      </c>
      <c r="AE89" s="1"/>
      <c r="AF89" s="1">
        <v>2</v>
      </c>
      <c r="AG89">
        <v>8</v>
      </c>
      <c r="AH89">
        <v>3</v>
      </c>
      <c r="AJ89">
        <v>2</v>
      </c>
      <c r="AK89" s="1" t="s">
        <v>73</v>
      </c>
      <c r="AL89" s="1" t="s">
        <v>72</v>
      </c>
      <c r="AM89">
        <v>6</v>
      </c>
      <c r="AN89" s="1" t="s">
        <v>72</v>
      </c>
      <c r="AO89">
        <v>6</v>
      </c>
      <c r="AP89" s="1" t="s">
        <v>72</v>
      </c>
      <c r="AQ89">
        <v>6</v>
      </c>
      <c r="AR89" s="1" t="s">
        <v>72</v>
      </c>
      <c r="AS89">
        <v>6</v>
      </c>
      <c r="AT89" t="s">
        <v>73</v>
      </c>
      <c r="AW89" s="1">
        <v>140</v>
      </c>
      <c r="AX89" s="1">
        <v>35</v>
      </c>
      <c r="AY89" s="1" t="s">
        <v>73</v>
      </c>
      <c r="AZ89" s="1" t="s">
        <v>73</v>
      </c>
      <c r="BA89" s="126" t="s">
        <v>73</v>
      </c>
      <c r="BB89" s="1">
        <v>1926</v>
      </c>
      <c r="BC89" s="100">
        <v>45652.543194444443</v>
      </c>
      <c r="BD89" s="85">
        <v>45652.501527777778</v>
      </c>
      <c r="BE89" s="1" t="s">
        <v>73</v>
      </c>
      <c r="BF89" s="1" t="s">
        <v>73</v>
      </c>
      <c r="BG89" s="1" t="s">
        <v>73</v>
      </c>
      <c r="BH89" s="1" t="s">
        <v>73</v>
      </c>
      <c r="BI89" s="1" t="s">
        <v>73</v>
      </c>
      <c r="BJ89" s="1" t="s">
        <v>73</v>
      </c>
      <c r="BK89" s="1"/>
      <c r="BL89" s="1" t="s">
        <v>73</v>
      </c>
      <c r="BM89" s="1" t="s">
        <v>73</v>
      </c>
      <c r="BN89" s="1" t="s">
        <v>73</v>
      </c>
      <c r="BO89" s="1" t="s">
        <v>73</v>
      </c>
      <c r="BP89" s="1" t="s">
        <v>73</v>
      </c>
      <c r="BQ89" s="1" t="s">
        <v>73</v>
      </c>
      <c r="BR89" s="1"/>
      <c r="BS89" s="1" t="s">
        <v>169</v>
      </c>
      <c r="BT89" s="1" t="s">
        <v>290</v>
      </c>
      <c r="BU89" s="1" t="s">
        <v>189</v>
      </c>
      <c r="BV89" s="1" t="s">
        <v>291</v>
      </c>
      <c r="BW89" s="1">
        <v>18</v>
      </c>
      <c r="CB89"/>
      <c r="CC89"/>
    </row>
    <row r="90" spans="1:81" ht="16" x14ac:dyDescent="0.2">
      <c r="A90" t="s">
        <v>138</v>
      </c>
      <c r="B90" t="s">
        <v>200</v>
      </c>
      <c r="C90" t="s">
        <v>201</v>
      </c>
      <c r="D90" s="1" t="s">
        <v>73</v>
      </c>
      <c r="E90" s="1" t="s">
        <v>72</v>
      </c>
      <c r="F90" s="1" t="s">
        <v>72</v>
      </c>
      <c r="G90" s="1" t="s">
        <v>72</v>
      </c>
      <c r="H90" s="1" t="s">
        <v>74</v>
      </c>
      <c r="I90" s="1"/>
      <c r="N90" s="1"/>
      <c r="O90" s="1"/>
      <c r="P90" s="1"/>
      <c r="Q90" s="1" t="s">
        <v>73</v>
      </c>
      <c r="R90" s="1" t="s">
        <v>73</v>
      </c>
      <c r="S90" s="1" t="s">
        <v>73</v>
      </c>
      <c r="T90" s="79"/>
      <c r="U90" s="79"/>
      <c r="V90" s="1"/>
      <c r="W90" s="1"/>
      <c r="X90" s="1"/>
      <c r="Y90" s="1"/>
      <c r="Z90" s="1" t="s">
        <v>73</v>
      </c>
      <c r="AA90" s="1" t="s">
        <v>73</v>
      </c>
      <c r="AB90">
        <v>3</v>
      </c>
      <c r="AC90" s="1">
        <v>6</v>
      </c>
      <c r="AE90" s="1"/>
      <c r="AF90" s="1"/>
      <c r="AG90">
        <v>6</v>
      </c>
      <c r="AK90" s="1" t="s">
        <v>72</v>
      </c>
      <c r="AL90" s="1" t="s">
        <v>72</v>
      </c>
      <c r="AM90">
        <v>6</v>
      </c>
      <c r="AN90" s="1" t="s">
        <v>72</v>
      </c>
      <c r="AO90">
        <v>6</v>
      </c>
      <c r="AP90" s="1" t="s">
        <v>73</v>
      </c>
      <c r="AR90" s="1" t="s">
        <v>72</v>
      </c>
      <c r="AS90">
        <v>6</v>
      </c>
      <c r="AT90" t="s">
        <v>72</v>
      </c>
      <c r="AU90">
        <v>1</v>
      </c>
      <c r="AV90">
        <v>1</v>
      </c>
      <c r="AW90" s="1">
        <v>70</v>
      </c>
      <c r="AX90" s="1">
        <v>15</v>
      </c>
      <c r="AY90" s="1" t="s">
        <v>73</v>
      </c>
      <c r="AZ90" s="1" t="s">
        <v>73</v>
      </c>
      <c r="BA90" s="126" t="s">
        <v>73</v>
      </c>
      <c r="BB90" s="1">
        <v>1922</v>
      </c>
      <c r="BC90" s="100">
        <v>45651.5466087963</v>
      </c>
      <c r="BD90" s="85">
        <v>45657.507280092592</v>
      </c>
      <c r="BE90" s="1" t="s">
        <v>73</v>
      </c>
      <c r="BF90" s="1" t="s">
        <v>73</v>
      </c>
      <c r="BG90" s="1" t="s">
        <v>73</v>
      </c>
      <c r="BH90" s="1" t="s">
        <v>73</v>
      </c>
      <c r="BI90" s="1" t="s">
        <v>73</v>
      </c>
      <c r="BJ90" s="1" t="s">
        <v>73</v>
      </c>
      <c r="BK90" s="1"/>
      <c r="BL90" s="1" t="s">
        <v>73</v>
      </c>
      <c r="BM90" s="1" t="s">
        <v>73</v>
      </c>
      <c r="BN90" s="1" t="s">
        <v>73</v>
      </c>
      <c r="BO90" s="1" t="s">
        <v>73</v>
      </c>
      <c r="BP90" s="1" t="s">
        <v>73</v>
      </c>
      <c r="BQ90" s="1" t="s">
        <v>73</v>
      </c>
      <c r="BR90" s="1"/>
      <c r="BS90" s="1" t="s">
        <v>75</v>
      </c>
      <c r="BT90" s="1" t="s">
        <v>362</v>
      </c>
      <c r="BU90" s="1" t="s">
        <v>363</v>
      </c>
      <c r="BV90" s="1" t="s">
        <v>364</v>
      </c>
      <c r="BW90" s="1">
        <v>14</v>
      </c>
      <c r="CB90"/>
      <c r="CC90"/>
    </row>
    <row r="91" spans="1:81" ht="16" x14ac:dyDescent="0.2">
      <c r="A91" t="s">
        <v>138</v>
      </c>
      <c r="B91" t="s">
        <v>254</v>
      </c>
      <c r="C91" t="s">
        <v>255</v>
      </c>
      <c r="D91" s="1" t="s">
        <v>73</v>
      </c>
      <c r="E91" s="1" t="s">
        <v>72</v>
      </c>
      <c r="F91" s="1" t="s">
        <v>72</v>
      </c>
      <c r="G91" s="1" t="s">
        <v>73</v>
      </c>
      <c r="H91" s="1"/>
      <c r="I91" s="1">
        <v>6</v>
      </c>
      <c r="N91" s="1"/>
      <c r="O91" s="1"/>
      <c r="P91" s="1"/>
      <c r="Q91" s="1" t="s">
        <v>73</v>
      </c>
      <c r="R91" s="1" t="s">
        <v>73</v>
      </c>
      <c r="S91" s="1" t="s">
        <v>73</v>
      </c>
      <c r="T91" s="79"/>
      <c r="U91" s="79"/>
      <c r="V91" s="1"/>
      <c r="W91" s="1"/>
      <c r="X91" s="1"/>
      <c r="Y91" s="1"/>
      <c r="Z91" s="1" t="s">
        <v>72</v>
      </c>
      <c r="AA91" s="1" t="s">
        <v>73</v>
      </c>
      <c r="AC91" s="1"/>
      <c r="AE91" s="1"/>
      <c r="AF91" s="1"/>
      <c r="AK91" s="1" t="s">
        <v>73</v>
      </c>
      <c r="AL91" s="1" t="s">
        <v>72</v>
      </c>
      <c r="AM91">
        <v>6</v>
      </c>
      <c r="AN91" s="1" t="s">
        <v>72</v>
      </c>
      <c r="AO91">
        <v>6</v>
      </c>
      <c r="AP91" s="1" t="s">
        <v>73</v>
      </c>
      <c r="AR91" s="1" t="s">
        <v>72</v>
      </c>
      <c r="AS91">
        <v>6</v>
      </c>
      <c r="AT91" t="s">
        <v>73</v>
      </c>
      <c r="AW91" s="1">
        <v>68</v>
      </c>
      <c r="AX91" s="1">
        <v>7</v>
      </c>
      <c r="AY91" s="1" t="s">
        <v>73</v>
      </c>
      <c r="AZ91" s="1" t="s">
        <v>73</v>
      </c>
      <c r="BA91" s="126" t="s">
        <v>73</v>
      </c>
      <c r="BB91" s="1">
        <v>1920</v>
      </c>
      <c r="BC91" s="100">
        <v>45651.460856481484</v>
      </c>
      <c r="BD91" s="85">
        <v>45651.419189814813</v>
      </c>
      <c r="BE91" s="1" t="s">
        <v>255</v>
      </c>
      <c r="BF91" s="1" t="s">
        <v>78</v>
      </c>
      <c r="BG91" s="1" t="s">
        <v>76</v>
      </c>
      <c r="BH91" s="1" t="s">
        <v>77</v>
      </c>
      <c r="BI91" s="1" t="s">
        <v>286</v>
      </c>
      <c r="BJ91" s="1" t="s">
        <v>287</v>
      </c>
      <c r="BK91" s="1">
        <v>45</v>
      </c>
      <c r="BL91" s="1" t="s">
        <v>73</v>
      </c>
      <c r="BM91" s="1" t="s">
        <v>73</v>
      </c>
      <c r="BN91" s="1" t="s">
        <v>73</v>
      </c>
      <c r="BO91" s="1" t="s">
        <v>73</v>
      </c>
      <c r="BP91" s="1" t="s">
        <v>73</v>
      </c>
      <c r="BQ91" s="1" t="s">
        <v>73</v>
      </c>
      <c r="BR91" s="1"/>
      <c r="BS91" s="1" t="s">
        <v>73</v>
      </c>
      <c r="BT91" s="1" t="s">
        <v>73</v>
      </c>
      <c r="BU91" s="1" t="s">
        <v>73</v>
      </c>
      <c r="BV91" s="1" t="s">
        <v>73</v>
      </c>
      <c r="BW91" s="1"/>
      <c r="CB91"/>
      <c r="CC91"/>
    </row>
    <row r="92" spans="1:81" ht="16" x14ac:dyDescent="0.2">
      <c r="A92" t="s">
        <v>138</v>
      </c>
      <c r="B92" t="s">
        <v>278</v>
      </c>
      <c r="C92" t="s">
        <v>279</v>
      </c>
      <c r="D92" s="1" t="s">
        <v>73</v>
      </c>
      <c r="E92" s="1" t="s">
        <v>72</v>
      </c>
      <c r="F92" s="1" t="s">
        <v>72</v>
      </c>
      <c r="G92" s="1" t="s">
        <v>73</v>
      </c>
      <c r="H92" s="1" t="s">
        <v>72</v>
      </c>
      <c r="I92" s="1">
        <v>6</v>
      </c>
      <c r="J92">
        <v>6</v>
      </c>
      <c r="N92" s="1"/>
      <c r="O92" s="1"/>
      <c r="P92" s="1"/>
      <c r="Q92" s="1" t="s">
        <v>73</v>
      </c>
      <c r="R92" s="1" t="s">
        <v>73</v>
      </c>
      <c r="S92" s="1" t="s">
        <v>73</v>
      </c>
      <c r="T92" s="79"/>
      <c r="U92" s="79"/>
      <c r="V92" s="1"/>
      <c r="W92" s="1"/>
      <c r="X92" s="1"/>
      <c r="Y92" s="1"/>
      <c r="Z92" s="1" t="s">
        <v>73</v>
      </c>
      <c r="AA92" s="1" t="s">
        <v>73</v>
      </c>
      <c r="AB92">
        <v>3</v>
      </c>
      <c r="AC92" s="1">
        <v>3</v>
      </c>
      <c r="AE92" s="1"/>
      <c r="AF92" s="1"/>
      <c r="AG92">
        <v>3</v>
      </c>
      <c r="AK92" s="1" t="s">
        <v>72</v>
      </c>
      <c r="AL92" s="1" t="s">
        <v>72</v>
      </c>
      <c r="AM92">
        <v>6</v>
      </c>
      <c r="AN92" s="1" t="s">
        <v>72</v>
      </c>
      <c r="AO92">
        <v>6</v>
      </c>
      <c r="AP92" s="1" t="s">
        <v>73</v>
      </c>
      <c r="AR92" s="1" t="s">
        <v>73</v>
      </c>
      <c r="AT92" t="s">
        <v>73</v>
      </c>
      <c r="AW92" s="1">
        <v>100</v>
      </c>
      <c r="AX92" s="1">
        <v>30</v>
      </c>
      <c r="AY92" s="1" t="s">
        <v>72</v>
      </c>
      <c r="AZ92" s="1" t="s">
        <v>72</v>
      </c>
      <c r="BA92" s="126" t="s">
        <v>73</v>
      </c>
      <c r="BB92" s="1">
        <v>1917</v>
      </c>
      <c r="BC92" s="100">
        <v>45649.826215277775</v>
      </c>
      <c r="BD92" s="85">
        <v>45649.784548611111</v>
      </c>
      <c r="BE92" s="1" t="s">
        <v>73</v>
      </c>
      <c r="BF92" s="1" t="s">
        <v>73</v>
      </c>
      <c r="BG92" s="1" t="s">
        <v>73</v>
      </c>
      <c r="BH92" s="1" t="s">
        <v>73</v>
      </c>
      <c r="BI92" s="1" t="s">
        <v>73</v>
      </c>
      <c r="BJ92" s="1" t="s">
        <v>73</v>
      </c>
      <c r="BK92" s="1"/>
      <c r="BL92" s="1" t="s">
        <v>73</v>
      </c>
      <c r="BM92" s="1" t="s">
        <v>73</v>
      </c>
      <c r="BN92" s="1" t="s">
        <v>73</v>
      </c>
      <c r="BO92" s="1" t="s">
        <v>73</v>
      </c>
      <c r="BP92" s="1" t="s">
        <v>73</v>
      </c>
      <c r="BQ92" s="1" t="s">
        <v>73</v>
      </c>
      <c r="BR92" s="1"/>
      <c r="BS92" s="1" t="s">
        <v>75</v>
      </c>
      <c r="BT92" s="1" t="s">
        <v>280</v>
      </c>
      <c r="BU92" s="1" t="s">
        <v>281</v>
      </c>
      <c r="BV92" s="1" t="s">
        <v>282</v>
      </c>
      <c r="BW92" s="1">
        <v>12</v>
      </c>
      <c r="CB92"/>
      <c r="CC92"/>
    </row>
    <row r="93" spans="1:81" ht="16" x14ac:dyDescent="0.2">
      <c r="A93" t="s">
        <v>138</v>
      </c>
      <c r="B93" t="s">
        <v>269</v>
      </c>
      <c r="C93" t="s">
        <v>270</v>
      </c>
      <c r="D93" s="1" t="s">
        <v>73</v>
      </c>
      <c r="E93" s="1" t="s">
        <v>72</v>
      </c>
      <c r="F93" s="1" t="s">
        <v>73</v>
      </c>
      <c r="G93" s="1" t="s">
        <v>73</v>
      </c>
      <c r="H93" s="1"/>
      <c r="I93" s="1"/>
      <c r="J93">
        <v>5</v>
      </c>
      <c r="N93" s="1"/>
      <c r="O93" s="1"/>
      <c r="P93" s="1"/>
      <c r="Q93" s="1" t="s">
        <v>73</v>
      </c>
      <c r="R93" s="1" t="s">
        <v>73</v>
      </c>
      <c r="S93" s="1" t="s">
        <v>73</v>
      </c>
      <c r="T93" s="79"/>
      <c r="U93" s="79"/>
      <c r="V93" s="1"/>
      <c r="W93" s="1"/>
      <c r="X93" s="1"/>
      <c r="Y93" s="1"/>
      <c r="Z93" s="1" t="s">
        <v>73</v>
      </c>
      <c r="AA93" s="1" t="s">
        <v>73</v>
      </c>
      <c r="AC93" s="1">
        <v>5</v>
      </c>
      <c r="AE93" s="1">
        <v>2</v>
      </c>
      <c r="AF93" s="1"/>
      <c r="AG93">
        <v>5</v>
      </c>
      <c r="AI93">
        <v>2</v>
      </c>
      <c r="AK93" s="1" t="s">
        <v>73</v>
      </c>
      <c r="AL93" s="1" t="s">
        <v>72</v>
      </c>
      <c r="AM93">
        <v>4</v>
      </c>
      <c r="AN93" s="1" t="s">
        <v>72</v>
      </c>
      <c r="AO93">
        <v>4</v>
      </c>
      <c r="AP93" s="1" t="s">
        <v>73</v>
      </c>
      <c r="AR93" s="1" t="s">
        <v>72</v>
      </c>
      <c r="AS93">
        <v>4</v>
      </c>
      <c r="AT93" t="s">
        <v>73</v>
      </c>
      <c r="AW93" s="1">
        <v>50</v>
      </c>
      <c r="AX93" s="1">
        <v>10</v>
      </c>
      <c r="AY93" s="1" t="s">
        <v>73</v>
      </c>
      <c r="AZ93" s="1" t="s">
        <v>73</v>
      </c>
      <c r="BA93" s="126" t="s">
        <v>73</v>
      </c>
      <c r="BB93" s="1">
        <v>1909</v>
      </c>
      <c r="BC93" s="100">
        <v>45649.61141203704</v>
      </c>
      <c r="BD93" s="85">
        <v>45649.569745370369</v>
      </c>
      <c r="BE93" s="1" t="s">
        <v>73</v>
      </c>
      <c r="BF93" s="1" t="s">
        <v>73</v>
      </c>
      <c r="BG93" s="1" t="s">
        <v>73</v>
      </c>
      <c r="BH93" s="1" t="s">
        <v>73</v>
      </c>
      <c r="BI93" s="1" t="s">
        <v>73</v>
      </c>
      <c r="BJ93" s="1" t="s">
        <v>73</v>
      </c>
      <c r="BK93" s="1"/>
      <c r="BL93" s="1" t="s">
        <v>73</v>
      </c>
      <c r="BM93" s="1" t="s">
        <v>73</v>
      </c>
      <c r="BN93" s="1" t="s">
        <v>73</v>
      </c>
      <c r="BO93" s="1" t="s">
        <v>73</v>
      </c>
      <c r="BP93" s="1" t="s">
        <v>73</v>
      </c>
      <c r="BQ93" s="1" t="s">
        <v>73</v>
      </c>
      <c r="BR93" s="1"/>
      <c r="BS93" s="1" t="s">
        <v>73</v>
      </c>
      <c r="BT93" s="1" t="s">
        <v>73</v>
      </c>
      <c r="BU93" s="1" t="s">
        <v>73</v>
      </c>
      <c r="BV93" s="1" t="s">
        <v>73</v>
      </c>
      <c r="BW93" s="1"/>
      <c r="CB93"/>
      <c r="CC93"/>
    </row>
    <row r="94" spans="1:81" ht="16" x14ac:dyDescent="0.2">
      <c r="A94" t="s">
        <v>138</v>
      </c>
      <c r="B94" t="s">
        <v>185</v>
      </c>
      <c r="C94" t="s">
        <v>133</v>
      </c>
      <c r="D94" s="1" t="s">
        <v>73</v>
      </c>
      <c r="E94" s="1" t="s">
        <v>72</v>
      </c>
      <c r="F94" s="1" t="s">
        <v>73</v>
      </c>
      <c r="G94" s="1" t="s">
        <v>73</v>
      </c>
      <c r="H94" s="1"/>
      <c r="I94" s="1">
        <v>9</v>
      </c>
      <c r="J94">
        <v>3</v>
      </c>
      <c r="L94">
        <v>3</v>
      </c>
      <c r="N94" s="1"/>
      <c r="O94" s="1"/>
      <c r="P94" s="1"/>
      <c r="Q94" s="1" t="s">
        <v>73</v>
      </c>
      <c r="R94" s="1" t="s">
        <v>73</v>
      </c>
      <c r="S94" s="1" t="s">
        <v>73</v>
      </c>
      <c r="T94" s="79"/>
      <c r="U94" s="79"/>
      <c r="V94" s="1"/>
      <c r="W94" s="1"/>
      <c r="X94" s="1"/>
      <c r="Y94" s="1"/>
      <c r="Z94" s="1" t="s">
        <v>73</v>
      </c>
      <c r="AA94" s="1" t="s">
        <v>73</v>
      </c>
      <c r="AC94" s="1">
        <v>3</v>
      </c>
      <c r="AE94" s="1"/>
      <c r="AF94" s="1"/>
      <c r="AG94">
        <v>3</v>
      </c>
      <c r="AK94" s="1" t="s">
        <v>73</v>
      </c>
      <c r="AL94" s="1" t="s">
        <v>72</v>
      </c>
      <c r="AM94">
        <v>6</v>
      </c>
      <c r="AN94" s="1" t="s">
        <v>72</v>
      </c>
      <c r="AO94">
        <v>6</v>
      </c>
      <c r="AP94" s="1" t="s">
        <v>73</v>
      </c>
      <c r="AR94" s="1" t="s">
        <v>72</v>
      </c>
      <c r="AS94">
        <v>6</v>
      </c>
      <c r="AT94" t="s">
        <v>73</v>
      </c>
      <c r="AW94" s="1">
        <v>68</v>
      </c>
      <c r="AX94" s="1">
        <v>3</v>
      </c>
      <c r="AY94" s="1" t="s">
        <v>73</v>
      </c>
      <c r="AZ94" s="1" t="s">
        <v>73</v>
      </c>
      <c r="BA94" s="126" t="s">
        <v>73</v>
      </c>
      <c r="BB94" s="1">
        <v>1904</v>
      </c>
      <c r="BC94" s="100">
        <v>45649.545995370368</v>
      </c>
      <c r="BD94" s="85">
        <v>45655.582002314812</v>
      </c>
      <c r="BE94" s="1" t="s">
        <v>73</v>
      </c>
      <c r="BF94" s="1" t="s">
        <v>73</v>
      </c>
      <c r="BG94" s="1" t="s">
        <v>73</v>
      </c>
      <c r="BH94" s="1" t="s">
        <v>73</v>
      </c>
      <c r="BI94" s="1" t="s">
        <v>73</v>
      </c>
      <c r="BJ94" s="1" t="s">
        <v>73</v>
      </c>
      <c r="BK94" s="1"/>
      <c r="BL94" s="1" t="s">
        <v>73</v>
      </c>
      <c r="BM94" s="1" t="s">
        <v>73</v>
      </c>
      <c r="BN94" s="1" t="s">
        <v>73</v>
      </c>
      <c r="BO94" s="1" t="s">
        <v>73</v>
      </c>
      <c r="BP94" s="1" t="s">
        <v>73</v>
      </c>
      <c r="BQ94" s="1" t="s">
        <v>73</v>
      </c>
      <c r="BR94" s="1"/>
      <c r="BS94" s="1" t="s">
        <v>73</v>
      </c>
      <c r="BT94" s="1" t="s">
        <v>73</v>
      </c>
      <c r="BU94" s="1" t="s">
        <v>73</v>
      </c>
      <c r="BV94" s="1" t="s">
        <v>73</v>
      </c>
      <c r="BW94" s="1"/>
      <c r="CB94"/>
      <c r="CC94"/>
    </row>
    <row r="95" spans="1:81" ht="16" x14ac:dyDescent="0.2">
      <c r="A95" t="s">
        <v>138</v>
      </c>
      <c r="B95" t="s">
        <v>174</v>
      </c>
      <c r="C95" t="s">
        <v>130</v>
      </c>
      <c r="D95" s="1" t="s">
        <v>73</v>
      </c>
      <c r="E95" s="1" t="s">
        <v>72</v>
      </c>
      <c r="F95" s="1" t="s">
        <v>73</v>
      </c>
      <c r="G95" s="1" t="s">
        <v>73</v>
      </c>
      <c r="H95" s="1"/>
      <c r="I95" s="1">
        <v>4</v>
      </c>
      <c r="N95" s="1"/>
      <c r="O95" s="1"/>
      <c r="P95" s="1"/>
      <c r="Q95" s="1" t="s">
        <v>73</v>
      </c>
      <c r="R95" s="1" t="s">
        <v>73</v>
      </c>
      <c r="S95" s="1" t="s">
        <v>73</v>
      </c>
      <c r="T95" s="79"/>
      <c r="U95" s="79"/>
      <c r="V95" s="1"/>
      <c r="W95" s="1"/>
      <c r="X95" s="1"/>
      <c r="Y95" s="1"/>
      <c r="Z95" s="1" t="s">
        <v>73</v>
      </c>
      <c r="AA95" s="1" t="s">
        <v>73</v>
      </c>
      <c r="AC95" s="1"/>
      <c r="AE95" s="1"/>
      <c r="AF95" s="1"/>
      <c r="AK95" s="1" t="s">
        <v>73</v>
      </c>
      <c r="AL95" s="1" t="s">
        <v>72</v>
      </c>
      <c r="AM95">
        <v>4</v>
      </c>
      <c r="AN95" s="1" t="s">
        <v>72</v>
      </c>
      <c r="AO95">
        <v>4</v>
      </c>
      <c r="AP95" s="1" t="s">
        <v>73</v>
      </c>
      <c r="AR95" s="1" t="s">
        <v>73</v>
      </c>
      <c r="AT95" t="s">
        <v>73</v>
      </c>
      <c r="AW95" s="1">
        <v>35</v>
      </c>
      <c r="AX95" s="1">
        <v>0</v>
      </c>
      <c r="AY95" s="1" t="s">
        <v>73</v>
      </c>
      <c r="AZ95" s="1" t="s">
        <v>73</v>
      </c>
      <c r="BA95" s="126" t="s">
        <v>73</v>
      </c>
      <c r="BB95" s="1">
        <v>1901</v>
      </c>
      <c r="BC95" s="100">
        <v>45649.41201388889</v>
      </c>
      <c r="BD95" s="85">
        <v>45649.370347222219</v>
      </c>
      <c r="BE95" s="1" t="s">
        <v>73</v>
      </c>
      <c r="BF95" s="1" t="s">
        <v>73</v>
      </c>
      <c r="BG95" s="1" t="s">
        <v>73</v>
      </c>
      <c r="BH95" s="1" t="s">
        <v>73</v>
      </c>
      <c r="BI95" s="1" t="s">
        <v>73</v>
      </c>
      <c r="BJ95" s="1" t="s">
        <v>73</v>
      </c>
      <c r="BK95" s="1"/>
      <c r="BL95" s="1" t="s">
        <v>73</v>
      </c>
      <c r="BM95" s="1" t="s">
        <v>73</v>
      </c>
      <c r="BN95" s="1" t="s">
        <v>73</v>
      </c>
      <c r="BO95" s="1" t="s">
        <v>73</v>
      </c>
      <c r="BP95" s="1" t="s">
        <v>73</v>
      </c>
      <c r="BQ95" s="1" t="s">
        <v>73</v>
      </c>
      <c r="BR95" s="1"/>
      <c r="BS95" s="1" t="s">
        <v>73</v>
      </c>
      <c r="BT95" s="1" t="s">
        <v>73</v>
      </c>
      <c r="BU95" s="1" t="s">
        <v>73</v>
      </c>
      <c r="BV95" s="1" t="s">
        <v>73</v>
      </c>
      <c r="BW95" s="1"/>
      <c r="CB95"/>
      <c r="CC95"/>
    </row>
    <row r="96" spans="1:81" ht="16" x14ac:dyDescent="0.2">
      <c r="A96" t="s">
        <v>138</v>
      </c>
      <c r="B96" t="s">
        <v>262</v>
      </c>
      <c r="C96" t="s">
        <v>263</v>
      </c>
      <c r="D96" s="1" t="s">
        <v>73</v>
      </c>
      <c r="E96" s="1" t="s">
        <v>72</v>
      </c>
      <c r="F96" s="1" t="s">
        <v>72</v>
      </c>
      <c r="G96" s="1" t="s">
        <v>72</v>
      </c>
      <c r="H96" s="1" t="s">
        <v>74</v>
      </c>
      <c r="I96" s="1">
        <v>10</v>
      </c>
      <c r="L96">
        <v>3</v>
      </c>
      <c r="N96" s="1">
        <v>4</v>
      </c>
      <c r="O96" s="1"/>
      <c r="P96" s="1"/>
      <c r="Q96" s="1" t="s">
        <v>73</v>
      </c>
      <c r="R96" s="1" t="s">
        <v>73</v>
      </c>
      <c r="S96" s="1" t="s">
        <v>73</v>
      </c>
      <c r="T96" s="79">
        <v>1</v>
      </c>
      <c r="U96" s="79">
        <v>1</v>
      </c>
      <c r="V96" s="1">
        <v>1</v>
      </c>
      <c r="W96" s="1">
        <v>1</v>
      </c>
      <c r="X96" s="1">
        <v>1</v>
      </c>
      <c r="Y96" s="1">
        <v>1</v>
      </c>
      <c r="Z96" s="1" t="s">
        <v>73</v>
      </c>
      <c r="AA96" s="1" t="s">
        <v>73</v>
      </c>
      <c r="AB96">
        <v>5</v>
      </c>
      <c r="AC96" s="1">
        <v>9</v>
      </c>
      <c r="AE96" s="1">
        <v>1</v>
      </c>
      <c r="AF96" s="1"/>
      <c r="AG96">
        <v>9</v>
      </c>
      <c r="AI96">
        <v>1</v>
      </c>
      <c r="AK96" s="1" t="s">
        <v>73</v>
      </c>
      <c r="AL96" s="1" t="s">
        <v>72</v>
      </c>
      <c r="AM96">
        <v>6</v>
      </c>
      <c r="AN96" s="1" t="s">
        <v>73</v>
      </c>
      <c r="AP96" s="1" t="s">
        <v>73</v>
      </c>
      <c r="AR96" s="1" t="s">
        <v>72</v>
      </c>
      <c r="AS96">
        <v>6</v>
      </c>
      <c r="AT96" t="s">
        <v>72</v>
      </c>
      <c r="AU96">
        <v>1</v>
      </c>
      <c r="AV96">
        <v>1</v>
      </c>
      <c r="AW96" s="1">
        <v>70</v>
      </c>
      <c r="AX96" s="1">
        <v>26</v>
      </c>
      <c r="AY96" s="1" t="s">
        <v>73</v>
      </c>
      <c r="AZ96" s="1" t="s">
        <v>73</v>
      </c>
      <c r="BA96" s="126" t="s">
        <v>73</v>
      </c>
      <c r="BB96" s="1">
        <v>1900</v>
      </c>
      <c r="BC96" s="100">
        <v>45648.900243055556</v>
      </c>
      <c r="BD96" s="85">
        <v>45648.858576388891</v>
      </c>
      <c r="BE96" s="1" t="s">
        <v>73</v>
      </c>
      <c r="BF96" s="1" t="s">
        <v>73</v>
      </c>
      <c r="BG96" s="1" t="s">
        <v>73</v>
      </c>
      <c r="BH96" s="1" t="s">
        <v>73</v>
      </c>
      <c r="BI96" s="1" t="s">
        <v>73</v>
      </c>
      <c r="BJ96" s="1" t="s">
        <v>73</v>
      </c>
      <c r="BK96" s="1"/>
      <c r="BL96" s="1" t="s">
        <v>73</v>
      </c>
      <c r="BM96" s="1" t="s">
        <v>73</v>
      </c>
      <c r="BN96" s="1" t="s">
        <v>73</v>
      </c>
      <c r="BO96" s="1" t="s">
        <v>73</v>
      </c>
      <c r="BP96" s="1" t="s">
        <v>73</v>
      </c>
      <c r="BQ96" s="1" t="s">
        <v>73</v>
      </c>
      <c r="BR96" s="1"/>
      <c r="BS96" s="1" t="s">
        <v>75</v>
      </c>
      <c r="BT96" s="1" t="s">
        <v>264</v>
      </c>
      <c r="BU96" s="1" t="s">
        <v>268</v>
      </c>
      <c r="BV96" s="1" t="s">
        <v>266</v>
      </c>
      <c r="BW96" s="1">
        <v>20</v>
      </c>
      <c r="CB96"/>
      <c r="CC96"/>
    </row>
    <row r="97" spans="1:81" ht="64" x14ac:dyDescent="0.2">
      <c r="A97" t="s">
        <v>138</v>
      </c>
      <c r="B97" t="s">
        <v>259</v>
      </c>
      <c r="C97" t="s">
        <v>260</v>
      </c>
      <c r="D97" s="1" t="s">
        <v>73</v>
      </c>
      <c r="E97" s="1" t="s">
        <v>73</v>
      </c>
      <c r="F97" s="1" t="s">
        <v>72</v>
      </c>
      <c r="G97" s="1" t="s">
        <v>73</v>
      </c>
      <c r="H97" s="1"/>
      <c r="I97" s="1">
        <v>4</v>
      </c>
      <c r="N97" s="1"/>
      <c r="O97" s="1"/>
      <c r="P97" s="1"/>
      <c r="Q97" s="1" t="s">
        <v>73</v>
      </c>
      <c r="R97" s="1" t="s">
        <v>73</v>
      </c>
      <c r="S97" s="1" t="s">
        <v>73</v>
      </c>
      <c r="T97" s="79"/>
      <c r="U97" s="79"/>
      <c r="V97" s="1"/>
      <c r="W97" s="1"/>
      <c r="X97" s="1"/>
      <c r="Y97" s="1"/>
      <c r="Z97" s="1" t="s">
        <v>73</v>
      </c>
      <c r="AA97" s="1" t="s">
        <v>73</v>
      </c>
      <c r="AC97" s="1"/>
      <c r="AE97" s="1"/>
      <c r="AF97" s="1"/>
      <c r="AK97" s="1" t="s">
        <v>73</v>
      </c>
      <c r="AL97" s="1" t="s">
        <v>72</v>
      </c>
      <c r="AM97">
        <v>6</v>
      </c>
      <c r="AN97" s="1" t="s">
        <v>72</v>
      </c>
      <c r="AO97">
        <v>6</v>
      </c>
      <c r="AP97" s="1" t="s">
        <v>73</v>
      </c>
      <c r="AR97" s="1" t="s">
        <v>73</v>
      </c>
      <c r="AT97" t="s">
        <v>73</v>
      </c>
      <c r="AW97" s="1">
        <v>15</v>
      </c>
      <c r="AX97" s="1">
        <v>2</v>
      </c>
      <c r="AY97" s="1" t="s">
        <v>73</v>
      </c>
      <c r="AZ97" s="1" t="s">
        <v>73</v>
      </c>
      <c r="BA97" s="126" t="s">
        <v>261</v>
      </c>
      <c r="BB97" s="1">
        <v>1895</v>
      </c>
      <c r="BC97" s="100">
        <v>45648.814293981479</v>
      </c>
      <c r="BD97" s="85">
        <v>45648.772627314815</v>
      </c>
      <c r="BE97" s="1" t="s">
        <v>73</v>
      </c>
      <c r="BF97" s="1" t="s">
        <v>73</v>
      </c>
      <c r="BG97" s="1" t="s">
        <v>73</v>
      </c>
      <c r="BH97" s="1" t="s">
        <v>73</v>
      </c>
      <c r="BI97" s="1" t="s">
        <v>73</v>
      </c>
      <c r="BJ97" s="1" t="s">
        <v>73</v>
      </c>
      <c r="BK97" s="1"/>
      <c r="BL97" s="1" t="s">
        <v>73</v>
      </c>
      <c r="BM97" s="1" t="s">
        <v>73</v>
      </c>
      <c r="BN97" s="1" t="s">
        <v>73</v>
      </c>
      <c r="BO97" s="1" t="s">
        <v>73</v>
      </c>
      <c r="BP97" s="1" t="s">
        <v>73</v>
      </c>
      <c r="BQ97" s="1" t="s">
        <v>73</v>
      </c>
      <c r="BR97" s="1"/>
      <c r="BS97" s="1" t="s">
        <v>73</v>
      </c>
      <c r="BT97" s="1" t="s">
        <v>73</v>
      </c>
      <c r="BU97" s="1" t="s">
        <v>73</v>
      </c>
      <c r="BV97" s="1" t="s">
        <v>73</v>
      </c>
      <c r="BW97" s="1"/>
      <c r="CB97"/>
      <c r="CC97"/>
    </row>
    <row r="98" spans="1:81" ht="16" x14ac:dyDescent="0.2">
      <c r="A98" t="s">
        <v>138</v>
      </c>
      <c r="B98" t="s">
        <v>257</v>
      </c>
      <c r="C98" t="s">
        <v>258</v>
      </c>
      <c r="D98" s="1" t="s">
        <v>72</v>
      </c>
      <c r="E98" s="1" t="s">
        <v>73</v>
      </c>
      <c r="F98" s="1" t="s">
        <v>73</v>
      </c>
      <c r="G98" s="1" t="s">
        <v>73</v>
      </c>
      <c r="H98" s="1"/>
      <c r="I98" s="1"/>
      <c r="N98" s="1"/>
      <c r="O98" s="1"/>
      <c r="P98" s="1"/>
      <c r="Q98" s="1" t="s">
        <v>73</v>
      </c>
      <c r="R98" s="1" t="s">
        <v>73</v>
      </c>
      <c r="S98" s="1" t="s">
        <v>73</v>
      </c>
      <c r="T98" s="79"/>
      <c r="U98" s="79"/>
      <c r="V98" s="1"/>
      <c r="W98" s="1"/>
      <c r="X98" s="1"/>
      <c r="Y98" s="1"/>
      <c r="Z98" s="1" t="s">
        <v>73</v>
      </c>
      <c r="AA98" s="1" t="s">
        <v>73</v>
      </c>
      <c r="AC98" s="1"/>
      <c r="AE98" s="1"/>
      <c r="AF98" s="1"/>
      <c r="AK98" s="1" t="s">
        <v>73</v>
      </c>
      <c r="AL98" s="1" t="s">
        <v>73</v>
      </c>
      <c r="AN98" s="1" t="s">
        <v>73</v>
      </c>
      <c r="AP98" s="1" t="s">
        <v>73</v>
      </c>
      <c r="AR98" s="1" t="s">
        <v>73</v>
      </c>
      <c r="AT98" t="s">
        <v>73</v>
      </c>
      <c r="AW98" s="1">
        <v>4</v>
      </c>
      <c r="AX98" s="1">
        <v>0</v>
      </c>
      <c r="AY98" s="1" t="s">
        <v>73</v>
      </c>
      <c r="AZ98" s="1" t="s">
        <v>73</v>
      </c>
      <c r="BA98" s="126" t="s">
        <v>73</v>
      </c>
      <c r="BB98" s="1">
        <v>1892</v>
      </c>
      <c r="BC98" s="100">
        <v>45648.416087962964</v>
      </c>
      <c r="BD98" s="85">
        <v>45648.374421296299</v>
      </c>
      <c r="BE98" s="1" t="s">
        <v>73</v>
      </c>
      <c r="BF98" s="1" t="s">
        <v>73</v>
      </c>
      <c r="BG98" s="1" t="s">
        <v>73</v>
      </c>
      <c r="BH98" s="1" t="s">
        <v>73</v>
      </c>
      <c r="BI98" s="1" t="s">
        <v>73</v>
      </c>
      <c r="BJ98" s="1" t="s">
        <v>73</v>
      </c>
      <c r="BK98" s="1"/>
      <c r="BL98" s="1" t="s">
        <v>73</v>
      </c>
      <c r="BM98" s="1" t="s">
        <v>73</v>
      </c>
      <c r="BN98" s="1" t="s">
        <v>73</v>
      </c>
      <c r="BO98" s="1" t="s">
        <v>73</v>
      </c>
      <c r="BP98" s="1" t="s">
        <v>73</v>
      </c>
      <c r="BQ98" s="1" t="s">
        <v>73</v>
      </c>
      <c r="BR98" s="1"/>
      <c r="BS98" s="1" t="s">
        <v>73</v>
      </c>
      <c r="BT98" s="1" t="s">
        <v>73</v>
      </c>
      <c r="BU98" s="1" t="s">
        <v>73</v>
      </c>
      <c r="BV98" s="1" t="s">
        <v>73</v>
      </c>
      <c r="BW98" s="1"/>
      <c r="CB98"/>
      <c r="CC98"/>
    </row>
    <row r="99" spans="1:81" ht="16" x14ac:dyDescent="0.2">
      <c r="A99" t="s">
        <v>138</v>
      </c>
      <c r="B99" t="s">
        <v>247</v>
      </c>
      <c r="C99" t="s">
        <v>248</v>
      </c>
      <c r="D99" s="1" t="s">
        <v>73</v>
      </c>
      <c r="E99" s="1" t="s">
        <v>72</v>
      </c>
      <c r="F99" s="1" t="s">
        <v>72</v>
      </c>
      <c r="G99" s="1" t="s">
        <v>73</v>
      </c>
      <c r="H99" s="1"/>
      <c r="I99" s="1">
        <v>8</v>
      </c>
      <c r="J99">
        <v>3</v>
      </c>
      <c r="N99" s="1"/>
      <c r="O99" s="1"/>
      <c r="P99" s="1"/>
      <c r="Q99" s="1" t="s">
        <v>73</v>
      </c>
      <c r="R99" s="1" t="s">
        <v>73</v>
      </c>
      <c r="S99" s="1" t="s">
        <v>73</v>
      </c>
      <c r="T99" s="79"/>
      <c r="U99" s="79"/>
      <c r="V99" s="1"/>
      <c r="W99" s="1"/>
      <c r="X99" s="1"/>
      <c r="Y99" s="1"/>
      <c r="Z99" s="1" t="s">
        <v>73</v>
      </c>
      <c r="AA99" s="1" t="s">
        <v>73</v>
      </c>
      <c r="AC99" s="1"/>
      <c r="AE99" s="1"/>
      <c r="AF99" s="1"/>
      <c r="AK99" s="1" t="s">
        <v>73</v>
      </c>
      <c r="AL99" s="1" t="s">
        <v>73</v>
      </c>
      <c r="AN99" s="1" t="s">
        <v>73</v>
      </c>
      <c r="AP99" s="1" t="s">
        <v>73</v>
      </c>
      <c r="AR99" s="1" t="s">
        <v>73</v>
      </c>
      <c r="AT99" t="s">
        <v>72</v>
      </c>
      <c r="AU99">
        <v>1</v>
      </c>
      <c r="AV99">
        <v>1</v>
      </c>
      <c r="AW99" s="1">
        <v>35</v>
      </c>
      <c r="AX99" s="1">
        <v>4</v>
      </c>
      <c r="AY99" s="1" t="s">
        <v>73</v>
      </c>
      <c r="AZ99" s="1" t="s">
        <v>73</v>
      </c>
      <c r="BA99" s="126" t="s">
        <v>73</v>
      </c>
      <c r="BB99" s="1">
        <v>1889</v>
      </c>
      <c r="BC99" s="100">
        <v>45647.568692129629</v>
      </c>
      <c r="BD99" s="85">
        <v>45657.428495370368</v>
      </c>
      <c r="BE99" s="1" t="s">
        <v>73</v>
      </c>
      <c r="BF99" s="1" t="s">
        <v>73</v>
      </c>
      <c r="BG99" s="1" t="s">
        <v>73</v>
      </c>
      <c r="BH99" s="1" t="s">
        <v>73</v>
      </c>
      <c r="BI99" s="1" t="s">
        <v>73</v>
      </c>
      <c r="BJ99" s="1" t="s">
        <v>73</v>
      </c>
      <c r="BK99" s="1"/>
      <c r="BL99" s="1" t="s">
        <v>73</v>
      </c>
      <c r="BM99" s="1" t="s">
        <v>73</v>
      </c>
      <c r="BN99" s="1" t="s">
        <v>73</v>
      </c>
      <c r="BO99" s="1" t="s">
        <v>73</v>
      </c>
      <c r="BP99" s="1" t="s">
        <v>73</v>
      </c>
      <c r="BQ99" s="1" t="s">
        <v>73</v>
      </c>
      <c r="BR99" s="1"/>
      <c r="BS99" s="1" t="s">
        <v>73</v>
      </c>
      <c r="BT99" s="1" t="s">
        <v>73</v>
      </c>
      <c r="BU99" s="1" t="s">
        <v>73</v>
      </c>
      <c r="BV99" s="1" t="s">
        <v>73</v>
      </c>
      <c r="BW99" s="1"/>
      <c r="CB99"/>
      <c r="CC99"/>
    </row>
    <row r="100" spans="1:81" ht="16" x14ac:dyDescent="0.2">
      <c r="A100" t="s">
        <v>138</v>
      </c>
      <c r="B100" t="s">
        <v>249</v>
      </c>
      <c r="C100" t="s">
        <v>250</v>
      </c>
      <c r="D100" s="1" t="s">
        <v>73</v>
      </c>
      <c r="E100" s="1" t="s">
        <v>72</v>
      </c>
      <c r="F100" s="1" t="s">
        <v>72</v>
      </c>
      <c r="G100" s="1" t="s">
        <v>73</v>
      </c>
      <c r="H100" s="1"/>
      <c r="I100" s="1">
        <v>7</v>
      </c>
      <c r="J100">
        <v>3</v>
      </c>
      <c r="N100" s="1"/>
      <c r="O100" s="1"/>
      <c r="P100" s="1"/>
      <c r="Q100" s="1" t="s">
        <v>73</v>
      </c>
      <c r="R100" s="1" t="s">
        <v>73</v>
      </c>
      <c r="S100" s="1" t="s">
        <v>73</v>
      </c>
      <c r="T100" s="79"/>
      <c r="U100" s="79">
        <v>1</v>
      </c>
      <c r="V100" s="1"/>
      <c r="W100" s="1"/>
      <c r="X100" s="1">
        <v>1</v>
      </c>
      <c r="Y100" s="1"/>
      <c r="Z100" s="1" t="s">
        <v>72</v>
      </c>
      <c r="AA100" s="1" t="s">
        <v>73</v>
      </c>
      <c r="AC100" s="1"/>
      <c r="AE100" s="1"/>
      <c r="AF100" s="1"/>
      <c r="AK100" s="1" t="s">
        <v>73</v>
      </c>
      <c r="AL100" s="1" t="s">
        <v>72</v>
      </c>
      <c r="AM100">
        <v>6</v>
      </c>
      <c r="AN100" s="1" t="s">
        <v>73</v>
      </c>
      <c r="AP100" s="1" t="s">
        <v>73</v>
      </c>
      <c r="AR100" s="1" t="s">
        <v>72</v>
      </c>
      <c r="AS100">
        <v>5</v>
      </c>
      <c r="AT100" t="s">
        <v>72</v>
      </c>
      <c r="AU100">
        <v>2</v>
      </c>
      <c r="AV100">
        <v>2</v>
      </c>
      <c r="AW100" s="1">
        <v>25</v>
      </c>
      <c r="AX100" s="1">
        <v>4</v>
      </c>
      <c r="AY100" s="1" t="s">
        <v>73</v>
      </c>
      <c r="AZ100" s="1" t="s">
        <v>73</v>
      </c>
      <c r="BA100" s="126" t="s">
        <v>73</v>
      </c>
      <c r="BB100" s="1">
        <v>1888</v>
      </c>
      <c r="BC100" s="100">
        <v>45647.561111111114</v>
      </c>
      <c r="BD100" s="85">
        <v>45656.451249999998</v>
      </c>
      <c r="BE100" s="1" t="s">
        <v>250</v>
      </c>
      <c r="BF100" s="1" t="s">
        <v>251</v>
      </c>
      <c r="BG100" s="1" t="s">
        <v>76</v>
      </c>
      <c r="BH100" s="1" t="s">
        <v>252</v>
      </c>
      <c r="BI100" s="1" t="s">
        <v>253</v>
      </c>
      <c r="BJ100" s="1" t="s">
        <v>253</v>
      </c>
      <c r="BK100" s="1">
        <v>8</v>
      </c>
      <c r="BL100" s="1" t="s">
        <v>73</v>
      </c>
      <c r="BM100" s="1" t="s">
        <v>73</v>
      </c>
      <c r="BN100" s="1" t="s">
        <v>73</v>
      </c>
      <c r="BO100" s="1" t="s">
        <v>73</v>
      </c>
      <c r="BP100" s="1" t="s">
        <v>73</v>
      </c>
      <c r="BQ100" s="1" t="s">
        <v>73</v>
      </c>
      <c r="BR100" s="1"/>
      <c r="BS100" s="1" t="s">
        <v>73</v>
      </c>
      <c r="BT100" s="1" t="s">
        <v>73</v>
      </c>
      <c r="BU100" s="1" t="s">
        <v>73</v>
      </c>
      <c r="BV100" s="1" t="s">
        <v>73</v>
      </c>
      <c r="BW100" s="1"/>
      <c r="CB100"/>
      <c r="CC100"/>
    </row>
    <row r="101" spans="1:81" ht="16" x14ac:dyDescent="0.2">
      <c r="A101" t="s">
        <v>138</v>
      </c>
      <c r="B101" t="s">
        <v>241</v>
      </c>
      <c r="C101" t="s">
        <v>242</v>
      </c>
      <c r="D101" s="1" t="s">
        <v>73</v>
      </c>
      <c r="E101" s="1" t="s">
        <v>72</v>
      </c>
      <c r="F101" s="1" t="s">
        <v>72</v>
      </c>
      <c r="G101" s="1" t="s">
        <v>73</v>
      </c>
      <c r="H101" s="1" t="s">
        <v>72</v>
      </c>
      <c r="I101" s="1">
        <v>6</v>
      </c>
      <c r="J101">
        <v>3</v>
      </c>
      <c r="N101" s="1"/>
      <c r="O101" s="1"/>
      <c r="P101" s="1"/>
      <c r="Q101" s="1" t="s">
        <v>73</v>
      </c>
      <c r="R101" s="1" t="s">
        <v>73</v>
      </c>
      <c r="S101" s="1" t="s">
        <v>73</v>
      </c>
      <c r="T101" s="79">
        <v>1</v>
      </c>
      <c r="U101" s="79"/>
      <c r="V101" s="1"/>
      <c r="W101" s="1">
        <v>1</v>
      </c>
      <c r="X101" s="1"/>
      <c r="Y101" s="1"/>
      <c r="Z101" s="1" t="s">
        <v>73</v>
      </c>
      <c r="AA101" s="1" t="s">
        <v>73</v>
      </c>
      <c r="AB101">
        <v>7</v>
      </c>
      <c r="AC101" s="1"/>
      <c r="AE101" s="1"/>
      <c r="AF101" s="1"/>
      <c r="AK101" s="1" t="s">
        <v>73</v>
      </c>
      <c r="AL101" s="1" t="s">
        <v>72</v>
      </c>
      <c r="AM101">
        <v>6</v>
      </c>
      <c r="AN101" s="1" t="s">
        <v>72</v>
      </c>
      <c r="AO101">
        <v>6</v>
      </c>
      <c r="AP101" s="1" t="s">
        <v>73</v>
      </c>
      <c r="AR101" s="1" t="s">
        <v>72</v>
      </c>
      <c r="AS101">
        <v>6</v>
      </c>
      <c r="AT101" t="s">
        <v>72</v>
      </c>
      <c r="AU101">
        <v>4</v>
      </c>
      <c r="AV101">
        <v>5</v>
      </c>
      <c r="AW101" s="1">
        <v>46</v>
      </c>
      <c r="AX101" s="1">
        <v>18</v>
      </c>
      <c r="AY101" s="1" t="s">
        <v>73</v>
      </c>
      <c r="AZ101" s="1" t="s">
        <v>73</v>
      </c>
      <c r="BA101" s="126" t="s">
        <v>73</v>
      </c>
      <c r="BB101" s="1">
        <v>1886</v>
      </c>
      <c r="BC101" s="100">
        <v>45647.555879629632</v>
      </c>
      <c r="BD101" s="85">
        <v>45657.487395833334</v>
      </c>
      <c r="BE101" s="1" t="s">
        <v>73</v>
      </c>
      <c r="BF101" s="1" t="s">
        <v>73</v>
      </c>
      <c r="BG101" s="1" t="s">
        <v>73</v>
      </c>
      <c r="BH101" s="1" t="s">
        <v>73</v>
      </c>
      <c r="BI101" s="1" t="s">
        <v>73</v>
      </c>
      <c r="BJ101" s="1" t="s">
        <v>73</v>
      </c>
      <c r="BK101" s="1"/>
      <c r="BL101" s="1" t="s">
        <v>73</v>
      </c>
      <c r="BM101" s="1" t="s">
        <v>73</v>
      </c>
      <c r="BN101" s="1" t="s">
        <v>73</v>
      </c>
      <c r="BO101" s="1" t="s">
        <v>73</v>
      </c>
      <c r="BP101" s="1" t="s">
        <v>73</v>
      </c>
      <c r="BQ101" s="1" t="s">
        <v>73</v>
      </c>
      <c r="BR101" s="1"/>
      <c r="BS101" s="1" t="s">
        <v>169</v>
      </c>
      <c r="BT101" s="1" t="s">
        <v>356</v>
      </c>
      <c r="BU101" s="1" t="s">
        <v>357</v>
      </c>
      <c r="BV101" s="1" t="s">
        <v>358</v>
      </c>
      <c r="BW101" s="1">
        <v>8</v>
      </c>
      <c r="CB101"/>
      <c r="CC101"/>
    </row>
    <row r="102" spans="1:81" ht="16" x14ac:dyDescent="0.2">
      <c r="A102" t="s">
        <v>138</v>
      </c>
      <c r="B102" t="s">
        <v>244</v>
      </c>
      <c r="C102" t="s">
        <v>245</v>
      </c>
      <c r="D102" s="1" t="s">
        <v>73</v>
      </c>
      <c r="E102" s="1" t="s">
        <v>72</v>
      </c>
      <c r="F102" s="1" t="s">
        <v>72</v>
      </c>
      <c r="G102" s="1" t="s">
        <v>73</v>
      </c>
      <c r="H102" s="1"/>
      <c r="I102" s="1">
        <v>7</v>
      </c>
      <c r="N102" s="1"/>
      <c r="O102" s="1"/>
      <c r="P102" s="1"/>
      <c r="Q102" s="1" t="s">
        <v>73</v>
      </c>
      <c r="R102" s="1" t="s">
        <v>73</v>
      </c>
      <c r="S102" s="1" t="s">
        <v>73</v>
      </c>
      <c r="T102" s="79">
        <v>2</v>
      </c>
      <c r="U102" s="79"/>
      <c r="V102" s="1"/>
      <c r="W102" s="1">
        <v>2</v>
      </c>
      <c r="X102" s="1"/>
      <c r="Y102" s="1"/>
      <c r="Z102" s="1" t="s">
        <v>72</v>
      </c>
      <c r="AA102" s="1" t="s">
        <v>73</v>
      </c>
      <c r="AC102" s="1">
        <v>2</v>
      </c>
      <c r="AE102" s="1"/>
      <c r="AF102" s="1"/>
      <c r="AG102">
        <v>2</v>
      </c>
      <c r="AK102" s="1" t="s">
        <v>73</v>
      </c>
      <c r="AL102" s="1" t="s">
        <v>72</v>
      </c>
      <c r="AM102">
        <v>6</v>
      </c>
      <c r="AN102" s="1" t="s">
        <v>72</v>
      </c>
      <c r="AO102">
        <v>6</v>
      </c>
      <c r="AP102" s="1" t="s">
        <v>73</v>
      </c>
      <c r="AR102" s="1" t="s">
        <v>72</v>
      </c>
      <c r="AS102">
        <v>6</v>
      </c>
      <c r="AT102" t="s">
        <v>72</v>
      </c>
      <c r="AU102">
        <v>1</v>
      </c>
      <c r="AW102" s="1">
        <v>75</v>
      </c>
      <c r="AX102" s="1">
        <v>5</v>
      </c>
      <c r="AY102" s="1" t="s">
        <v>73</v>
      </c>
      <c r="AZ102" s="1" t="s">
        <v>73</v>
      </c>
      <c r="BA102" s="126" t="s">
        <v>73</v>
      </c>
      <c r="BB102" s="1">
        <v>1881</v>
      </c>
      <c r="BC102" s="100">
        <v>45647.422800925924</v>
      </c>
      <c r="BD102" s="85">
        <v>45647.44159722222</v>
      </c>
      <c r="BE102" s="1" t="s">
        <v>245</v>
      </c>
      <c r="BF102" s="1" t="s">
        <v>78</v>
      </c>
      <c r="BG102" s="1" t="s">
        <v>215</v>
      </c>
      <c r="BH102" s="1" t="s">
        <v>162</v>
      </c>
      <c r="BI102" s="1" t="s">
        <v>246</v>
      </c>
      <c r="BJ102" s="1" t="s">
        <v>246</v>
      </c>
      <c r="BK102" s="1">
        <v>35</v>
      </c>
      <c r="BL102" s="1" t="s">
        <v>73</v>
      </c>
      <c r="BM102" s="1" t="s">
        <v>73</v>
      </c>
      <c r="BN102" s="1" t="s">
        <v>73</v>
      </c>
      <c r="BO102" s="1" t="s">
        <v>73</v>
      </c>
      <c r="BP102" s="1" t="s">
        <v>73</v>
      </c>
      <c r="BQ102" s="1" t="s">
        <v>73</v>
      </c>
      <c r="BR102" s="1"/>
      <c r="BS102" s="1" t="s">
        <v>73</v>
      </c>
      <c r="BT102" s="1" t="s">
        <v>73</v>
      </c>
      <c r="BU102" s="1" t="s">
        <v>73</v>
      </c>
      <c r="BV102" s="1" t="s">
        <v>73</v>
      </c>
      <c r="BW102" s="1"/>
      <c r="CB102"/>
      <c r="CC102"/>
    </row>
    <row r="103" spans="1:81" ht="16" x14ac:dyDescent="0.2">
      <c r="A103" t="s">
        <v>138</v>
      </c>
      <c r="B103" t="s">
        <v>207</v>
      </c>
      <c r="C103" t="s">
        <v>236</v>
      </c>
      <c r="D103" s="1" t="s">
        <v>73</v>
      </c>
      <c r="E103" s="1" t="s">
        <v>72</v>
      </c>
      <c r="F103" s="1" t="s">
        <v>72</v>
      </c>
      <c r="G103" s="1" t="s">
        <v>73</v>
      </c>
      <c r="H103" s="1"/>
      <c r="I103" s="1">
        <v>7</v>
      </c>
      <c r="N103" s="1"/>
      <c r="O103" s="1"/>
      <c r="P103" s="1"/>
      <c r="Q103" s="1" t="s">
        <v>73</v>
      </c>
      <c r="R103" s="1" t="s">
        <v>73</v>
      </c>
      <c r="S103" s="1" t="s">
        <v>73</v>
      </c>
      <c r="T103" s="79"/>
      <c r="U103" s="79"/>
      <c r="V103" s="1"/>
      <c r="W103" s="1"/>
      <c r="X103" s="1"/>
      <c r="Y103" s="1"/>
      <c r="Z103" s="1" t="s">
        <v>72</v>
      </c>
      <c r="AA103" s="1" t="s">
        <v>73</v>
      </c>
      <c r="AC103" s="1"/>
      <c r="AE103" s="1"/>
      <c r="AF103" s="1"/>
      <c r="AK103" s="1" t="s">
        <v>72</v>
      </c>
      <c r="AL103" s="1" t="s">
        <v>72</v>
      </c>
      <c r="AM103">
        <v>6</v>
      </c>
      <c r="AN103" s="1" t="s">
        <v>72</v>
      </c>
      <c r="AO103">
        <v>6</v>
      </c>
      <c r="AP103" s="1" t="s">
        <v>73</v>
      </c>
      <c r="AR103" s="1" t="s">
        <v>72</v>
      </c>
      <c r="AS103">
        <v>6</v>
      </c>
      <c r="AT103" t="s">
        <v>73</v>
      </c>
      <c r="AW103" s="1">
        <v>57</v>
      </c>
      <c r="AX103" s="1">
        <v>2</v>
      </c>
      <c r="AY103" s="1" t="s">
        <v>73</v>
      </c>
      <c r="AZ103" s="1" t="s">
        <v>73</v>
      </c>
      <c r="BA103" s="126" t="s">
        <v>73</v>
      </c>
      <c r="BB103" s="1">
        <v>1877</v>
      </c>
      <c r="BC103" s="100">
        <v>45646.491331018522</v>
      </c>
      <c r="BD103" s="85">
        <v>45655.502465277779</v>
      </c>
      <c r="BE103" s="1" t="s">
        <v>236</v>
      </c>
      <c r="BF103" s="1" t="s">
        <v>78</v>
      </c>
      <c r="BG103" s="1" t="s">
        <v>215</v>
      </c>
      <c r="BH103" s="1" t="s">
        <v>77</v>
      </c>
      <c r="BI103" s="1" t="s">
        <v>325</v>
      </c>
      <c r="BJ103" s="1" t="s">
        <v>325</v>
      </c>
      <c r="BK103" s="1">
        <v>31</v>
      </c>
      <c r="BL103" s="1" t="s">
        <v>73</v>
      </c>
      <c r="BM103" s="1" t="s">
        <v>73</v>
      </c>
      <c r="BN103" s="1" t="s">
        <v>73</v>
      </c>
      <c r="BO103" s="1" t="s">
        <v>73</v>
      </c>
      <c r="BP103" s="1" t="s">
        <v>73</v>
      </c>
      <c r="BQ103" s="1" t="s">
        <v>73</v>
      </c>
      <c r="BR103" s="1"/>
      <c r="BS103" s="1" t="s">
        <v>73</v>
      </c>
      <c r="BT103" s="1" t="s">
        <v>73</v>
      </c>
      <c r="BU103" s="1" t="s">
        <v>73</v>
      </c>
      <c r="BV103" s="1" t="s">
        <v>73</v>
      </c>
      <c r="BW103" s="1"/>
      <c r="CB103"/>
      <c r="CC103"/>
    </row>
    <row r="104" spans="1:81" ht="16" x14ac:dyDescent="0.2">
      <c r="A104" t="s">
        <v>138</v>
      </c>
      <c r="B104" t="s">
        <v>231</v>
      </c>
      <c r="C104" t="s">
        <v>232</v>
      </c>
      <c r="D104" s="1" t="s">
        <v>73</v>
      </c>
      <c r="E104" s="1" t="s">
        <v>72</v>
      </c>
      <c r="F104" s="1" t="s">
        <v>72</v>
      </c>
      <c r="G104" s="1" t="s">
        <v>73</v>
      </c>
      <c r="H104" s="1"/>
      <c r="I104" s="1">
        <v>10</v>
      </c>
      <c r="N104" s="1"/>
      <c r="O104" s="1"/>
      <c r="P104" s="1"/>
      <c r="Q104" s="1" t="s">
        <v>73</v>
      </c>
      <c r="R104" s="1" t="s">
        <v>73</v>
      </c>
      <c r="S104" s="1" t="s">
        <v>73</v>
      </c>
      <c r="T104" s="79"/>
      <c r="U104" s="79"/>
      <c r="V104" s="1"/>
      <c r="W104" s="1"/>
      <c r="X104" s="1"/>
      <c r="Y104" s="1"/>
      <c r="Z104" s="1" t="s">
        <v>73</v>
      </c>
      <c r="AA104" s="1" t="s">
        <v>73</v>
      </c>
      <c r="AC104" s="1">
        <v>5</v>
      </c>
      <c r="AE104" s="1"/>
      <c r="AF104" s="1"/>
      <c r="AG104">
        <v>5</v>
      </c>
      <c r="AK104" s="1" t="s">
        <v>72</v>
      </c>
      <c r="AL104" s="1" t="s">
        <v>72</v>
      </c>
      <c r="AM104">
        <v>3</v>
      </c>
      <c r="AN104" s="1" t="s">
        <v>72</v>
      </c>
      <c r="AO104">
        <v>3</v>
      </c>
      <c r="AP104" s="1" t="s">
        <v>73</v>
      </c>
      <c r="AR104" s="1" t="s">
        <v>73</v>
      </c>
      <c r="AT104" t="s">
        <v>73</v>
      </c>
      <c r="AW104" s="1">
        <v>70</v>
      </c>
      <c r="AX104" s="1">
        <v>5</v>
      </c>
      <c r="AY104" s="1" t="s">
        <v>72</v>
      </c>
      <c r="AZ104" s="1" t="s">
        <v>73</v>
      </c>
      <c r="BA104" s="126" t="s">
        <v>73</v>
      </c>
      <c r="BB104" s="1">
        <v>1874</v>
      </c>
      <c r="BC104" s="100">
        <v>45645.469895833332</v>
      </c>
      <c r="BD104" s="85">
        <v>45645.428229166668</v>
      </c>
      <c r="BE104" s="1" t="s">
        <v>73</v>
      </c>
      <c r="BF104" s="1" t="s">
        <v>73</v>
      </c>
      <c r="BG104" s="1" t="s">
        <v>73</v>
      </c>
      <c r="BH104" s="1" t="s">
        <v>73</v>
      </c>
      <c r="BI104" s="1" t="s">
        <v>73</v>
      </c>
      <c r="BJ104" s="1" t="s">
        <v>73</v>
      </c>
      <c r="BK104" s="1"/>
      <c r="BL104" s="1" t="s">
        <v>73</v>
      </c>
      <c r="BM104" s="1" t="s">
        <v>73</v>
      </c>
      <c r="BN104" s="1" t="s">
        <v>73</v>
      </c>
      <c r="BO104" s="1" t="s">
        <v>73</v>
      </c>
      <c r="BP104" s="1" t="s">
        <v>73</v>
      </c>
      <c r="BQ104" s="1" t="s">
        <v>73</v>
      </c>
      <c r="BR104" s="1"/>
      <c r="BS104" s="1" t="s">
        <v>73</v>
      </c>
      <c r="BT104" s="1" t="s">
        <v>73</v>
      </c>
      <c r="BU104" s="1" t="s">
        <v>73</v>
      </c>
      <c r="BV104" s="1" t="s">
        <v>73</v>
      </c>
      <c r="BW104" s="1"/>
      <c r="CB104"/>
      <c r="CC104"/>
    </row>
    <row r="105" spans="1:81" ht="16" x14ac:dyDescent="0.2">
      <c r="A105" t="s">
        <v>138</v>
      </c>
      <c r="B105" t="s">
        <v>237</v>
      </c>
      <c r="C105" t="s">
        <v>238</v>
      </c>
      <c r="D105" s="1" t="s">
        <v>73</v>
      </c>
      <c r="E105" s="1" t="s">
        <v>72</v>
      </c>
      <c r="F105" s="1" t="s">
        <v>72</v>
      </c>
      <c r="G105" s="1" t="s">
        <v>73</v>
      </c>
      <c r="H105" s="1"/>
      <c r="I105" s="1">
        <v>4</v>
      </c>
      <c r="N105" s="1"/>
      <c r="O105" s="1"/>
      <c r="P105" s="1"/>
      <c r="Q105" s="1" t="s">
        <v>73</v>
      </c>
      <c r="R105" s="1" t="s">
        <v>73</v>
      </c>
      <c r="S105" s="1" t="s">
        <v>73</v>
      </c>
      <c r="T105" s="79"/>
      <c r="U105" s="79"/>
      <c r="V105" s="1"/>
      <c r="W105" s="1"/>
      <c r="X105" s="1"/>
      <c r="Y105" s="1"/>
      <c r="Z105" s="1" t="s">
        <v>73</v>
      </c>
      <c r="AA105" s="1" t="s">
        <v>73</v>
      </c>
      <c r="AC105" s="1"/>
      <c r="AE105" s="1">
        <v>1</v>
      </c>
      <c r="AF105" s="1"/>
      <c r="AI105">
        <v>1</v>
      </c>
      <c r="AK105" s="1" t="s">
        <v>73</v>
      </c>
      <c r="AL105" s="1" t="s">
        <v>72</v>
      </c>
      <c r="AM105">
        <v>6</v>
      </c>
      <c r="AN105" s="1" t="s">
        <v>72</v>
      </c>
      <c r="AO105">
        <v>6</v>
      </c>
      <c r="AP105" s="1" t="s">
        <v>73</v>
      </c>
      <c r="AR105" s="1" t="s">
        <v>72</v>
      </c>
      <c r="AS105">
        <v>6</v>
      </c>
      <c r="AT105" t="s">
        <v>73</v>
      </c>
      <c r="AW105" s="1">
        <v>6</v>
      </c>
      <c r="AX105" s="1">
        <v>0</v>
      </c>
      <c r="AY105" s="1" t="s">
        <v>73</v>
      </c>
      <c r="AZ105" s="1" t="s">
        <v>73</v>
      </c>
      <c r="BA105" s="126" t="s">
        <v>73</v>
      </c>
      <c r="BB105" s="1">
        <v>1870</v>
      </c>
      <c r="BC105" s="100">
        <v>45645.403946759259</v>
      </c>
      <c r="BD105" s="85">
        <v>45645.362280092595</v>
      </c>
      <c r="BE105" s="1" t="s">
        <v>73</v>
      </c>
      <c r="BF105" s="1" t="s">
        <v>73</v>
      </c>
      <c r="BG105" s="1" t="s">
        <v>73</v>
      </c>
      <c r="BH105" s="1" t="s">
        <v>73</v>
      </c>
      <c r="BI105" s="1" t="s">
        <v>73</v>
      </c>
      <c r="BJ105" s="1" t="s">
        <v>73</v>
      </c>
      <c r="BK105" s="1"/>
      <c r="BL105" s="1" t="s">
        <v>73</v>
      </c>
      <c r="BM105" s="1" t="s">
        <v>73</v>
      </c>
      <c r="BN105" s="1" t="s">
        <v>73</v>
      </c>
      <c r="BO105" s="1" t="s">
        <v>73</v>
      </c>
      <c r="BP105" s="1" t="s">
        <v>73</v>
      </c>
      <c r="BQ105" s="1" t="s">
        <v>73</v>
      </c>
      <c r="BR105" s="1"/>
      <c r="BS105" s="1" t="s">
        <v>73</v>
      </c>
      <c r="BT105" s="1" t="s">
        <v>73</v>
      </c>
      <c r="BU105" s="1" t="s">
        <v>73</v>
      </c>
      <c r="BV105" s="1" t="s">
        <v>73</v>
      </c>
      <c r="BW105" s="1"/>
      <c r="CB105"/>
      <c r="CC105"/>
    </row>
    <row r="106" spans="1:81" ht="16" x14ac:dyDescent="0.2">
      <c r="A106" t="s">
        <v>138</v>
      </c>
      <c r="B106" t="s">
        <v>212</v>
      </c>
      <c r="C106" t="s">
        <v>213</v>
      </c>
      <c r="D106" s="1" t="s">
        <v>73</v>
      </c>
      <c r="E106" s="1" t="s">
        <v>72</v>
      </c>
      <c r="F106" s="1" t="s">
        <v>72</v>
      </c>
      <c r="G106" s="1" t="s">
        <v>73</v>
      </c>
      <c r="H106" s="1"/>
      <c r="I106" s="1">
        <v>6</v>
      </c>
      <c r="N106" s="1"/>
      <c r="O106" s="1"/>
      <c r="P106" s="1"/>
      <c r="Q106" s="1" t="s">
        <v>73</v>
      </c>
      <c r="R106" s="1" t="s">
        <v>73</v>
      </c>
      <c r="S106" s="1" t="s">
        <v>73</v>
      </c>
      <c r="T106" s="79"/>
      <c r="U106" s="79"/>
      <c r="V106" s="1"/>
      <c r="W106" s="1"/>
      <c r="X106" s="1"/>
      <c r="Y106" s="1"/>
      <c r="Z106" s="1" t="s">
        <v>72</v>
      </c>
      <c r="AA106" s="1" t="s">
        <v>73</v>
      </c>
      <c r="AC106" s="1"/>
      <c r="AE106" s="1"/>
      <c r="AF106" s="1"/>
      <c r="AK106" s="1" t="s">
        <v>73</v>
      </c>
      <c r="AL106" s="1" t="s">
        <v>72</v>
      </c>
      <c r="AM106">
        <v>6</v>
      </c>
      <c r="AN106" s="1" t="s">
        <v>72</v>
      </c>
      <c r="AO106">
        <v>6</v>
      </c>
      <c r="AP106" s="1" t="s">
        <v>73</v>
      </c>
      <c r="AR106" s="1" t="s">
        <v>72</v>
      </c>
      <c r="AS106">
        <v>6</v>
      </c>
      <c r="AT106" t="s">
        <v>73</v>
      </c>
      <c r="AW106" s="1">
        <v>40</v>
      </c>
      <c r="AX106" s="1">
        <v>2</v>
      </c>
      <c r="AY106" s="1" t="s">
        <v>72</v>
      </c>
      <c r="AZ106" s="1" t="s">
        <v>73</v>
      </c>
      <c r="BA106" s="126" t="s">
        <v>73</v>
      </c>
      <c r="BB106" s="1">
        <v>1858</v>
      </c>
      <c r="BC106" s="100">
        <v>45643.915798611109</v>
      </c>
      <c r="BD106" s="85">
        <v>45643.874131944445</v>
      </c>
      <c r="BE106" s="1" t="s">
        <v>213</v>
      </c>
      <c r="BF106" s="1" t="s">
        <v>78</v>
      </c>
      <c r="BG106" s="1" t="s">
        <v>215</v>
      </c>
      <c r="BH106" s="1" t="s">
        <v>216</v>
      </c>
      <c r="BI106" s="1" t="s">
        <v>217</v>
      </c>
      <c r="BJ106" s="1" t="s">
        <v>218</v>
      </c>
      <c r="BK106" s="1">
        <v>10</v>
      </c>
      <c r="BL106" s="1" t="s">
        <v>73</v>
      </c>
      <c r="BM106" s="1" t="s">
        <v>73</v>
      </c>
      <c r="BN106" s="1" t="s">
        <v>73</v>
      </c>
      <c r="BO106" s="1" t="s">
        <v>73</v>
      </c>
      <c r="BP106" s="1" t="s">
        <v>73</v>
      </c>
      <c r="BQ106" s="1" t="s">
        <v>73</v>
      </c>
      <c r="BR106" s="1"/>
      <c r="BS106" s="1" t="s">
        <v>73</v>
      </c>
      <c r="BT106" s="1" t="s">
        <v>73</v>
      </c>
      <c r="BU106" s="1" t="s">
        <v>73</v>
      </c>
      <c r="BV106" s="1" t="s">
        <v>73</v>
      </c>
      <c r="BW106" s="1"/>
      <c r="CB106"/>
      <c r="CC106"/>
    </row>
    <row r="107" spans="1:81" ht="16" x14ac:dyDescent="0.2">
      <c r="A107" t="s">
        <v>138</v>
      </c>
      <c r="B107" t="s">
        <v>186</v>
      </c>
      <c r="C107" t="s">
        <v>187</v>
      </c>
      <c r="D107" s="1" t="s">
        <v>73</v>
      </c>
      <c r="E107" s="1" t="s">
        <v>72</v>
      </c>
      <c r="F107" s="1" t="s">
        <v>73</v>
      </c>
      <c r="G107" s="1" t="s">
        <v>72</v>
      </c>
      <c r="H107" s="1" t="s">
        <v>74</v>
      </c>
      <c r="I107" s="1">
        <v>6</v>
      </c>
      <c r="N107" s="1"/>
      <c r="O107" s="1"/>
      <c r="P107" s="1"/>
      <c r="Q107" s="1" t="s">
        <v>73</v>
      </c>
      <c r="R107" s="1" t="s">
        <v>73</v>
      </c>
      <c r="S107" s="1" t="s">
        <v>73</v>
      </c>
      <c r="T107" s="79">
        <v>1</v>
      </c>
      <c r="U107" s="79"/>
      <c r="V107" s="1"/>
      <c r="W107" s="1">
        <v>1</v>
      </c>
      <c r="X107" s="1"/>
      <c r="Y107" s="1"/>
      <c r="Z107" s="1" t="s">
        <v>73</v>
      </c>
      <c r="AA107" s="1" t="s">
        <v>73</v>
      </c>
      <c r="AB107">
        <v>4</v>
      </c>
      <c r="AC107" s="1">
        <v>5</v>
      </c>
      <c r="AE107" s="1"/>
      <c r="AF107" s="1"/>
      <c r="AG107">
        <v>5</v>
      </c>
      <c r="AK107" s="1" t="s">
        <v>73</v>
      </c>
      <c r="AL107" s="1" t="s">
        <v>73</v>
      </c>
      <c r="AN107" s="1" t="s">
        <v>73</v>
      </c>
      <c r="AP107" s="1" t="s">
        <v>73</v>
      </c>
      <c r="AR107" s="1" t="s">
        <v>73</v>
      </c>
      <c r="AT107" t="s">
        <v>73</v>
      </c>
      <c r="AW107" s="1">
        <v>90</v>
      </c>
      <c r="AX107" s="1">
        <v>20</v>
      </c>
      <c r="AY107" s="1" t="s">
        <v>72</v>
      </c>
      <c r="AZ107" s="1" t="s">
        <v>73</v>
      </c>
      <c r="BA107" s="126" t="s">
        <v>73</v>
      </c>
      <c r="BB107" s="1">
        <v>1849</v>
      </c>
      <c r="BC107" s="100">
        <v>45642.826678240737</v>
      </c>
      <c r="BD107" s="85">
        <v>45642.785011574073</v>
      </c>
      <c r="BE107" s="1" t="s">
        <v>73</v>
      </c>
      <c r="BF107" s="1" t="s">
        <v>73</v>
      </c>
      <c r="BG107" s="1" t="s">
        <v>73</v>
      </c>
      <c r="BH107" s="1" t="s">
        <v>73</v>
      </c>
      <c r="BI107" s="1" t="s">
        <v>73</v>
      </c>
      <c r="BJ107" s="1" t="s">
        <v>73</v>
      </c>
      <c r="BK107" s="1"/>
      <c r="BL107" s="1" t="s">
        <v>73</v>
      </c>
      <c r="BM107" s="1" t="s">
        <v>73</v>
      </c>
      <c r="BN107" s="1" t="s">
        <v>73</v>
      </c>
      <c r="BO107" s="1" t="s">
        <v>73</v>
      </c>
      <c r="BP107" s="1" t="s">
        <v>73</v>
      </c>
      <c r="BQ107" s="1" t="s">
        <v>73</v>
      </c>
      <c r="BR107" s="1"/>
      <c r="BS107" s="1" t="s">
        <v>75</v>
      </c>
      <c r="BT107" s="1" t="s">
        <v>188</v>
      </c>
      <c r="BU107" s="1" t="s">
        <v>189</v>
      </c>
      <c r="BV107" s="1" t="s">
        <v>190</v>
      </c>
      <c r="BW107" s="1">
        <v>8</v>
      </c>
      <c r="CB107"/>
      <c r="CC107"/>
    </row>
    <row r="108" spans="1:81" ht="16" x14ac:dyDescent="0.2">
      <c r="A108" t="s">
        <v>138</v>
      </c>
      <c r="B108" t="s">
        <v>210</v>
      </c>
      <c r="C108" t="s">
        <v>211</v>
      </c>
      <c r="D108" s="1" t="s">
        <v>73</v>
      </c>
      <c r="E108" s="1" t="s">
        <v>72</v>
      </c>
      <c r="F108" s="1" t="s">
        <v>72</v>
      </c>
      <c r="G108" s="1" t="s">
        <v>73</v>
      </c>
      <c r="H108" s="1"/>
      <c r="I108" s="1">
        <v>5</v>
      </c>
      <c r="J108">
        <v>3</v>
      </c>
      <c r="N108" s="1">
        <v>4</v>
      </c>
      <c r="O108" s="1"/>
      <c r="P108" s="1"/>
      <c r="Q108" s="1" t="s">
        <v>73</v>
      </c>
      <c r="R108" s="1" t="s">
        <v>73</v>
      </c>
      <c r="S108" s="1" t="s">
        <v>73</v>
      </c>
      <c r="T108" s="79">
        <v>3</v>
      </c>
      <c r="U108" s="79">
        <v>1</v>
      </c>
      <c r="V108" s="1"/>
      <c r="W108" s="1">
        <v>3</v>
      </c>
      <c r="X108" s="1">
        <v>1</v>
      </c>
      <c r="Y108" s="1"/>
      <c r="Z108" s="1" t="s">
        <v>72</v>
      </c>
      <c r="AA108" s="1" t="s">
        <v>73</v>
      </c>
      <c r="AC108" s="1"/>
      <c r="AE108" s="1"/>
      <c r="AF108" s="1"/>
      <c r="AK108" s="1" t="s">
        <v>72</v>
      </c>
      <c r="AL108" s="1" t="s">
        <v>73</v>
      </c>
      <c r="AN108" s="1" t="s">
        <v>73</v>
      </c>
      <c r="AP108" s="1" t="s">
        <v>73</v>
      </c>
      <c r="AR108" s="1" t="s">
        <v>73</v>
      </c>
      <c r="AT108" t="s">
        <v>73</v>
      </c>
      <c r="AW108" s="1">
        <v>32</v>
      </c>
      <c r="AX108" s="1">
        <v>7</v>
      </c>
      <c r="AY108" s="1" t="s">
        <v>73</v>
      </c>
      <c r="AZ108" s="1" t="s">
        <v>73</v>
      </c>
      <c r="BA108" s="126" t="s">
        <v>73</v>
      </c>
      <c r="BB108" s="1">
        <v>1848</v>
      </c>
      <c r="BC108" s="100">
        <v>45642.813136574077</v>
      </c>
      <c r="BD108" s="85">
        <v>45642.771469907406</v>
      </c>
      <c r="BE108" s="1" t="s">
        <v>211</v>
      </c>
      <c r="BF108" s="1" t="s">
        <v>219</v>
      </c>
      <c r="BG108" s="1" t="s">
        <v>215</v>
      </c>
      <c r="BH108" s="1" t="s">
        <v>216</v>
      </c>
      <c r="BI108" s="1" t="s">
        <v>220</v>
      </c>
      <c r="BJ108" s="1" t="s">
        <v>221</v>
      </c>
      <c r="BK108" s="1">
        <v>20</v>
      </c>
      <c r="BL108" s="1" t="s">
        <v>73</v>
      </c>
      <c r="BM108" s="1" t="s">
        <v>73</v>
      </c>
      <c r="BN108" s="1" t="s">
        <v>73</v>
      </c>
      <c r="BO108" s="1" t="s">
        <v>73</v>
      </c>
      <c r="BP108" s="1" t="s">
        <v>73</v>
      </c>
      <c r="BQ108" s="1" t="s">
        <v>73</v>
      </c>
      <c r="BR108" s="1"/>
      <c r="BS108" s="1" t="s">
        <v>73</v>
      </c>
      <c r="BT108" s="1" t="s">
        <v>73</v>
      </c>
      <c r="BU108" s="1" t="s">
        <v>73</v>
      </c>
      <c r="BV108" s="1" t="s">
        <v>73</v>
      </c>
      <c r="BW108" s="1"/>
      <c r="BZ108" s="1"/>
      <c r="CA108" s="1"/>
      <c r="CB108"/>
      <c r="CC108"/>
    </row>
    <row r="109" spans="1:81" ht="16" x14ac:dyDescent="0.2">
      <c r="A109" t="s">
        <v>138</v>
      </c>
      <c r="B109" t="s">
        <v>203</v>
      </c>
      <c r="C109" t="s">
        <v>204</v>
      </c>
      <c r="D109" s="1" t="s">
        <v>73</v>
      </c>
      <c r="E109" s="1" t="s">
        <v>73</v>
      </c>
      <c r="F109" s="1" t="s">
        <v>73</v>
      </c>
      <c r="G109" s="1" t="s">
        <v>73</v>
      </c>
      <c r="H109" s="1"/>
      <c r="I109" s="1"/>
      <c r="N109" s="1"/>
      <c r="O109" s="1"/>
      <c r="P109" s="1"/>
      <c r="Q109" s="1" t="s">
        <v>73</v>
      </c>
      <c r="R109" s="1" t="s">
        <v>73</v>
      </c>
      <c r="S109" s="1" t="s">
        <v>73</v>
      </c>
      <c r="T109" s="79"/>
      <c r="U109" s="79"/>
      <c r="V109" s="1"/>
      <c r="W109" s="1"/>
      <c r="X109" s="1"/>
      <c r="Y109" s="1"/>
      <c r="Z109" s="1" t="s">
        <v>73</v>
      </c>
      <c r="AA109" s="1" t="s">
        <v>73</v>
      </c>
      <c r="AC109" s="1"/>
      <c r="AE109" s="1"/>
      <c r="AF109" s="1"/>
      <c r="AK109" s="1" t="s">
        <v>73</v>
      </c>
      <c r="AL109" s="1" t="s">
        <v>72</v>
      </c>
      <c r="AM109">
        <v>4</v>
      </c>
      <c r="AN109" s="1" t="s">
        <v>72</v>
      </c>
      <c r="AO109">
        <v>4</v>
      </c>
      <c r="AP109" s="1" t="s">
        <v>73</v>
      </c>
      <c r="AR109" s="1" t="s">
        <v>72</v>
      </c>
      <c r="AS109">
        <v>4</v>
      </c>
      <c r="AT109" t="s">
        <v>73</v>
      </c>
      <c r="AW109" s="1">
        <v>30</v>
      </c>
      <c r="AX109" s="1">
        <v>2</v>
      </c>
      <c r="AY109" s="1" t="s">
        <v>72</v>
      </c>
      <c r="AZ109" s="1" t="s">
        <v>73</v>
      </c>
      <c r="BA109" s="126" t="s">
        <v>73</v>
      </c>
      <c r="BB109" s="1">
        <v>1844</v>
      </c>
      <c r="BC109" s="100">
        <v>45642.667673611111</v>
      </c>
      <c r="BD109" s="85">
        <v>45642.626006944447</v>
      </c>
      <c r="BE109" s="1" t="s">
        <v>73</v>
      </c>
      <c r="BF109" s="1" t="s">
        <v>73</v>
      </c>
      <c r="BG109" s="1" t="s">
        <v>73</v>
      </c>
      <c r="BH109" s="1" t="s">
        <v>73</v>
      </c>
      <c r="BI109" s="1" t="s">
        <v>73</v>
      </c>
      <c r="BJ109" s="1" t="s">
        <v>73</v>
      </c>
      <c r="BK109" s="1"/>
      <c r="BL109" s="1" t="s">
        <v>73</v>
      </c>
      <c r="BM109" s="1" t="s">
        <v>73</v>
      </c>
      <c r="BN109" s="1" t="s">
        <v>73</v>
      </c>
      <c r="BO109" s="1" t="s">
        <v>73</v>
      </c>
      <c r="BP109" s="1" t="s">
        <v>73</v>
      </c>
      <c r="BQ109" s="1" t="s">
        <v>73</v>
      </c>
      <c r="BR109" s="1"/>
      <c r="BS109" s="1" t="s">
        <v>73</v>
      </c>
      <c r="BT109" s="1" t="s">
        <v>73</v>
      </c>
      <c r="BU109" s="1" t="s">
        <v>73</v>
      </c>
      <c r="BV109" s="1" t="s">
        <v>73</v>
      </c>
      <c r="BW109" s="1"/>
      <c r="BZ109" s="1"/>
      <c r="CA109" s="1"/>
      <c r="CB109"/>
      <c r="CC109"/>
    </row>
    <row r="110" spans="1:81" ht="16" x14ac:dyDescent="0.2">
      <c r="A110" t="s">
        <v>138</v>
      </c>
      <c r="B110" t="s">
        <v>153</v>
      </c>
      <c r="C110" t="s">
        <v>154</v>
      </c>
      <c r="D110" s="1" t="s">
        <v>73</v>
      </c>
      <c r="E110" s="1" t="s">
        <v>72</v>
      </c>
      <c r="F110" s="1" t="s">
        <v>73</v>
      </c>
      <c r="G110" s="1" t="s">
        <v>73</v>
      </c>
      <c r="H110" s="1"/>
      <c r="I110" s="1"/>
      <c r="N110" s="1"/>
      <c r="O110" s="1"/>
      <c r="P110" s="1"/>
      <c r="Q110" s="1" t="s">
        <v>73</v>
      </c>
      <c r="R110" s="1" t="s">
        <v>73</v>
      </c>
      <c r="S110" s="1" t="s">
        <v>73</v>
      </c>
      <c r="T110" s="79"/>
      <c r="U110" s="79"/>
      <c r="V110" s="1"/>
      <c r="W110" s="1"/>
      <c r="X110" s="1"/>
      <c r="Y110" s="1"/>
      <c r="Z110" s="1" t="s">
        <v>73</v>
      </c>
      <c r="AA110" s="1" t="s">
        <v>73</v>
      </c>
      <c r="AC110" s="1">
        <v>5</v>
      </c>
      <c r="AE110" s="1"/>
      <c r="AF110" s="1"/>
      <c r="AG110">
        <v>4</v>
      </c>
      <c r="AK110" s="1" t="s">
        <v>73</v>
      </c>
      <c r="AL110" s="1" t="s">
        <v>73</v>
      </c>
      <c r="AN110" s="1" t="s">
        <v>73</v>
      </c>
      <c r="AP110" s="1" t="s">
        <v>73</v>
      </c>
      <c r="AR110" s="1" t="s">
        <v>73</v>
      </c>
      <c r="AT110" t="s">
        <v>73</v>
      </c>
      <c r="AW110" s="1">
        <v>35</v>
      </c>
      <c r="AX110" s="1">
        <v>10</v>
      </c>
      <c r="AY110" s="1" t="s">
        <v>72</v>
      </c>
      <c r="AZ110" s="1" t="s">
        <v>73</v>
      </c>
      <c r="BA110" s="126" t="s">
        <v>73</v>
      </c>
      <c r="BB110" s="1">
        <v>1838</v>
      </c>
      <c r="BC110" s="100">
        <v>45641.533518518518</v>
      </c>
      <c r="BD110" s="85">
        <v>45641.491851851853</v>
      </c>
      <c r="BE110" s="1" t="s">
        <v>73</v>
      </c>
      <c r="BF110" s="1" t="s">
        <v>73</v>
      </c>
      <c r="BG110" s="1" t="s">
        <v>73</v>
      </c>
      <c r="BH110" s="1" t="s">
        <v>73</v>
      </c>
      <c r="BI110" s="1" t="s">
        <v>73</v>
      </c>
      <c r="BJ110" s="1" t="s">
        <v>73</v>
      </c>
      <c r="BK110" s="1"/>
      <c r="BL110" s="1" t="s">
        <v>73</v>
      </c>
      <c r="BM110" s="1" t="s">
        <v>73</v>
      </c>
      <c r="BN110" s="1" t="s">
        <v>73</v>
      </c>
      <c r="BO110" s="1" t="s">
        <v>73</v>
      </c>
      <c r="BP110" s="1" t="s">
        <v>73</v>
      </c>
      <c r="BQ110" s="1" t="s">
        <v>73</v>
      </c>
      <c r="BR110" s="1"/>
      <c r="BS110" s="1" t="s">
        <v>73</v>
      </c>
      <c r="BT110" s="1" t="s">
        <v>73</v>
      </c>
      <c r="BU110" s="1" t="s">
        <v>73</v>
      </c>
      <c r="BV110" s="1" t="s">
        <v>73</v>
      </c>
      <c r="BW110" s="1"/>
      <c r="BZ110" s="1"/>
      <c r="CA110" s="1"/>
      <c r="CB110"/>
      <c r="CC110"/>
    </row>
    <row r="111" spans="1:81" ht="16" x14ac:dyDescent="0.2">
      <c r="A111" t="s">
        <v>138</v>
      </c>
      <c r="B111" t="s">
        <v>172</v>
      </c>
      <c r="C111" t="s">
        <v>168</v>
      </c>
      <c r="D111" s="1" t="s">
        <v>73</v>
      </c>
      <c r="E111" s="1" t="s">
        <v>72</v>
      </c>
      <c r="F111" s="1" t="s">
        <v>72</v>
      </c>
      <c r="G111" s="1" t="s">
        <v>73</v>
      </c>
      <c r="H111" s="1" t="s">
        <v>72</v>
      </c>
      <c r="I111" s="1">
        <v>10</v>
      </c>
      <c r="J111">
        <v>3</v>
      </c>
      <c r="L111">
        <v>6</v>
      </c>
      <c r="N111" s="1"/>
      <c r="O111" s="1"/>
      <c r="P111" s="1"/>
      <c r="Q111" s="1" t="s">
        <v>73</v>
      </c>
      <c r="R111" s="1" t="s">
        <v>73</v>
      </c>
      <c r="S111" s="1" t="s">
        <v>73</v>
      </c>
      <c r="T111" s="79"/>
      <c r="U111" s="79"/>
      <c r="V111" s="1"/>
      <c r="W111" s="1"/>
      <c r="X111" s="1"/>
      <c r="Y111" s="1"/>
      <c r="Z111" s="1" t="s">
        <v>73</v>
      </c>
      <c r="AA111" s="1" t="s">
        <v>73</v>
      </c>
      <c r="AB111">
        <v>1</v>
      </c>
      <c r="AC111" s="1">
        <v>11</v>
      </c>
      <c r="AE111" s="1"/>
      <c r="AF111" s="1">
        <v>4</v>
      </c>
      <c r="AG111">
        <v>11</v>
      </c>
      <c r="AJ111">
        <v>4</v>
      </c>
      <c r="AK111" s="1" t="s">
        <v>73</v>
      </c>
      <c r="AL111" s="1" t="s">
        <v>73</v>
      </c>
      <c r="AN111" s="1" t="s">
        <v>73</v>
      </c>
      <c r="AP111" s="1" t="s">
        <v>73</v>
      </c>
      <c r="AR111" s="1" t="s">
        <v>73</v>
      </c>
      <c r="AT111" t="s">
        <v>73</v>
      </c>
      <c r="AW111" s="1">
        <v>105</v>
      </c>
      <c r="AX111" s="1">
        <v>26</v>
      </c>
      <c r="AY111" s="1" t="s">
        <v>73</v>
      </c>
      <c r="AZ111" s="1" t="s">
        <v>73</v>
      </c>
      <c r="BA111" s="126" t="s">
        <v>73</v>
      </c>
      <c r="BB111" s="1">
        <v>1834</v>
      </c>
      <c r="BC111" s="100">
        <v>45639.400671296295</v>
      </c>
      <c r="BD111" s="85">
        <v>45639.35900462963</v>
      </c>
      <c r="BE111" s="1" t="s">
        <v>73</v>
      </c>
      <c r="BF111" s="1" t="s">
        <v>73</v>
      </c>
      <c r="BG111" s="1" t="s">
        <v>73</v>
      </c>
      <c r="BH111" s="1" t="s">
        <v>73</v>
      </c>
      <c r="BI111" s="1" t="s">
        <v>73</v>
      </c>
      <c r="BJ111" s="1" t="s">
        <v>73</v>
      </c>
      <c r="BK111" s="1"/>
      <c r="BL111" s="1" t="s">
        <v>73</v>
      </c>
      <c r="BM111" s="1" t="s">
        <v>73</v>
      </c>
      <c r="BN111" s="1" t="s">
        <v>73</v>
      </c>
      <c r="BO111" s="1" t="s">
        <v>73</v>
      </c>
      <c r="BP111" s="1" t="s">
        <v>73</v>
      </c>
      <c r="BQ111" s="1" t="s">
        <v>73</v>
      </c>
      <c r="BR111" s="1"/>
      <c r="BS111" s="1" t="s">
        <v>169</v>
      </c>
      <c r="BT111" s="1" t="s">
        <v>196</v>
      </c>
      <c r="BU111" s="1" t="s">
        <v>197</v>
      </c>
      <c r="BV111" s="1" t="s">
        <v>198</v>
      </c>
      <c r="BW111" s="1">
        <v>16</v>
      </c>
    </row>
    <row r="112" spans="1:81" ht="128" x14ac:dyDescent="0.2">
      <c r="A112" t="s">
        <v>138</v>
      </c>
      <c r="B112" t="s">
        <v>179</v>
      </c>
      <c r="C112" t="s">
        <v>166</v>
      </c>
      <c r="D112" s="1" t="s">
        <v>73</v>
      </c>
      <c r="E112" s="1" t="s">
        <v>72</v>
      </c>
      <c r="F112" s="1" t="s">
        <v>72</v>
      </c>
      <c r="G112" s="1" t="s">
        <v>73</v>
      </c>
      <c r="H112" s="1"/>
      <c r="I112" s="1"/>
      <c r="L112">
        <v>6</v>
      </c>
      <c r="N112" s="1"/>
      <c r="O112" s="1"/>
      <c r="P112" s="1"/>
      <c r="Q112" s="1" t="s">
        <v>73</v>
      </c>
      <c r="R112" s="1" t="s">
        <v>73</v>
      </c>
      <c r="S112" s="1" t="s">
        <v>73</v>
      </c>
      <c r="T112" s="79"/>
      <c r="U112" s="79">
        <v>1</v>
      </c>
      <c r="V112" s="1">
        <v>5</v>
      </c>
      <c r="W112" s="1"/>
      <c r="X112" s="1">
        <v>1</v>
      </c>
      <c r="Y112" s="1">
        <v>5</v>
      </c>
      <c r="Z112" s="1" t="s">
        <v>72</v>
      </c>
      <c r="AA112" s="1" t="s">
        <v>73</v>
      </c>
      <c r="AC112" s="1"/>
      <c r="AE112" s="1"/>
      <c r="AF112" s="1"/>
      <c r="AK112" s="1" t="s">
        <v>73</v>
      </c>
      <c r="AL112" s="1" t="s">
        <v>73</v>
      </c>
      <c r="AN112" s="1" t="s">
        <v>73</v>
      </c>
      <c r="AP112" s="1" t="s">
        <v>73</v>
      </c>
      <c r="AR112" s="1" t="s">
        <v>73</v>
      </c>
      <c r="AT112" t="s">
        <v>72</v>
      </c>
      <c r="AU112">
        <v>3</v>
      </c>
      <c r="AW112" s="1">
        <v>42</v>
      </c>
      <c r="AX112" s="1">
        <v>42</v>
      </c>
      <c r="AY112" s="1" t="s">
        <v>73</v>
      </c>
      <c r="AZ112" s="1" t="s">
        <v>73</v>
      </c>
      <c r="BA112" s="126" t="s">
        <v>160</v>
      </c>
      <c r="BB112" s="1">
        <v>1830</v>
      </c>
      <c r="BC112" s="100">
        <v>45639.325312499997</v>
      </c>
      <c r="BD112" s="85">
        <v>45639.283645833333</v>
      </c>
      <c r="BE112" s="1" t="s">
        <v>166</v>
      </c>
      <c r="BF112" s="1" t="s">
        <v>78</v>
      </c>
      <c r="BG112" s="1" t="s">
        <v>161</v>
      </c>
      <c r="BH112" s="1" t="s">
        <v>162</v>
      </c>
      <c r="BI112" s="1" t="s">
        <v>171</v>
      </c>
      <c r="BJ112" s="1" t="s">
        <v>171</v>
      </c>
      <c r="BK112" s="1">
        <v>23</v>
      </c>
      <c r="BL112" s="1" t="s">
        <v>73</v>
      </c>
      <c r="BM112" s="1" t="s">
        <v>73</v>
      </c>
      <c r="BN112" s="1" t="s">
        <v>73</v>
      </c>
      <c r="BO112" s="1" t="s">
        <v>73</v>
      </c>
      <c r="BP112" s="1" t="s">
        <v>73</v>
      </c>
      <c r="BQ112" s="1" t="s">
        <v>73</v>
      </c>
      <c r="BR112" s="1"/>
      <c r="BS112" s="1" t="s">
        <v>73</v>
      </c>
      <c r="BT112" s="1" t="s">
        <v>73</v>
      </c>
      <c r="BU112" s="1" t="s">
        <v>73</v>
      </c>
      <c r="BV112" s="1" t="s">
        <v>73</v>
      </c>
      <c r="BW112" s="1"/>
    </row>
    <row r="113" spans="1:75" ht="128" x14ac:dyDescent="0.2">
      <c r="A113" t="s">
        <v>138</v>
      </c>
      <c r="B113" t="s">
        <v>181</v>
      </c>
      <c r="C113" t="s">
        <v>159</v>
      </c>
      <c r="D113" s="1" t="s">
        <v>73</v>
      </c>
      <c r="E113" s="1" t="s">
        <v>72</v>
      </c>
      <c r="F113" s="1" t="s">
        <v>73</v>
      </c>
      <c r="G113" s="1" t="s">
        <v>73</v>
      </c>
      <c r="H113" s="1"/>
      <c r="I113" s="1">
        <v>7</v>
      </c>
      <c r="N113" s="1"/>
      <c r="O113" s="1"/>
      <c r="P113" s="1"/>
      <c r="Q113" s="1" t="s">
        <v>73</v>
      </c>
      <c r="R113" s="1" t="s">
        <v>73</v>
      </c>
      <c r="S113" s="1" t="s">
        <v>73</v>
      </c>
      <c r="T113" s="79">
        <v>1</v>
      </c>
      <c r="U113" s="79"/>
      <c r="V113" s="1"/>
      <c r="W113" s="1">
        <v>1</v>
      </c>
      <c r="X113" s="1"/>
      <c r="Y113" s="1"/>
      <c r="Z113" s="1" t="s">
        <v>72</v>
      </c>
      <c r="AA113" s="1" t="s">
        <v>73</v>
      </c>
      <c r="AC113" s="1"/>
      <c r="AE113" s="1"/>
      <c r="AF113" s="1"/>
      <c r="AK113" s="1" t="s">
        <v>73</v>
      </c>
      <c r="AL113" s="1" t="s">
        <v>72</v>
      </c>
      <c r="AM113">
        <v>6</v>
      </c>
      <c r="AN113" s="1" t="s">
        <v>72</v>
      </c>
      <c r="AO113">
        <v>6</v>
      </c>
      <c r="AP113" s="1" t="s">
        <v>73</v>
      </c>
      <c r="AR113" s="1" t="s">
        <v>72</v>
      </c>
      <c r="AS113">
        <v>6</v>
      </c>
      <c r="AT113" t="s">
        <v>73</v>
      </c>
      <c r="AW113" s="1">
        <v>90</v>
      </c>
      <c r="AX113" s="1">
        <v>0</v>
      </c>
      <c r="AY113" s="1" t="s">
        <v>73</v>
      </c>
      <c r="AZ113" s="1" t="s">
        <v>73</v>
      </c>
      <c r="BA113" s="126" t="s">
        <v>160</v>
      </c>
      <c r="BB113" s="1">
        <v>1826</v>
      </c>
      <c r="BC113" s="100">
        <v>45637.588495370372</v>
      </c>
      <c r="BD113" s="85">
        <v>45637.5468287037</v>
      </c>
      <c r="BE113" s="1" t="s">
        <v>159</v>
      </c>
      <c r="BF113" s="1" t="s">
        <v>78</v>
      </c>
      <c r="BG113" s="1" t="s">
        <v>161</v>
      </c>
      <c r="BH113" s="1" t="s">
        <v>162</v>
      </c>
      <c r="BI113" s="1" t="s">
        <v>163</v>
      </c>
      <c r="BJ113" s="1" t="s">
        <v>163</v>
      </c>
      <c r="BK113" s="1">
        <v>62</v>
      </c>
      <c r="BL113" s="1" t="s">
        <v>73</v>
      </c>
      <c r="BM113" s="1" t="s">
        <v>73</v>
      </c>
      <c r="BN113" s="1" t="s">
        <v>73</v>
      </c>
      <c r="BO113" s="1" t="s">
        <v>73</v>
      </c>
      <c r="BP113" s="1" t="s">
        <v>73</v>
      </c>
      <c r="BQ113" s="1" t="s">
        <v>73</v>
      </c>
      <c r="BR113" s="1"/>
      <c r="BS113" s="1" t="s">
        <v>73</v>
      </c>
      <c r="BT113" s="1" t="s">
        <v>73</v>
      </c>
      <c r="BU113" s="1" t="s">
        <v>73</v>
      </c>
      <c r="BV113" s="1" t="s">
        <v>73</v>
      </c>
      <c r="BW113" s="1"/>
    </row>
    <row r="114" spans="1:75" ht="96" x14ac:dyDescent="0.2">
      <c r="A114" t="s">
        <v>138</v>
      </c>
      <c r="B114" t="s">
        <v>175</v>
      </c>
      <c r="C114" t="s">
        <v>164</v>
      </c>
      <c r="D114" s="1" t="s">
        <v>73</v>
      </c>
      <c r="E114" s="1" t="s">
        <v>72</v>
      </c>
      <c r="F114" s="1" t="s">
        <v>73</v>
      </c>
      <c r="G114" s="1" t="s">
        <v>73</v>
      </c>
      <c r="H114" s="1"/>
      <c r="I114" s="1">
        <v>8</v>
      </c>
      <c r="N114" s="1"/>
      <c r="O114" s="1"/>
      <c r="P114" s="1"/>
      <c r="Q114" s="1" t="s">
        <v>73</v>
      </c>
      <c r="R114" s="1" t="s">
        <v>73</v>
      </c>
      <c r="S114" s="1" t="s">
        <v>73</v>
      </c>
      <c r="T114" s="79"/>
      <c r="U114" s="79"/>
      <c r="V114" s="1"/>
      <c r="W114" s="1"/>
      <c r="X114" s="1"/>
      <c r="Y114" s="1"/>
      <c r="Z114" s="1" t="s">
        <v>73</v>
      </c>
      <c r="AA114" s="1" t="s">
        <v>73</v>
      </c>
      <c r="AC114" s="1"/>
      <c r="AE114" s="1"/>
      <c r="AF114" s="1"/>
      <c r="AK114" s="1" t="s">
        <v>73</v>
      </c>
      <c r="AL114" s="1" t="s">
        <v>73</v>
      </c>
      <c r="AN114" s="1" t="s">
        <v>73</v>
      </c>
      <c r="AP114" s="1" t="s">
        <v>73</v>
      </c>
      <c r="AR114" s="1" t="s">
        <v>73</v>
      </c>
      <c r="AT114" t="s">
        <v>73</v>
      </c>
      <c r="AW114" s="1">
        <v>10</v>
      </c>
      <c r="AX114" s="1">
        <v>0</v>
      </c>
      <c r="AY114" s="1" t="s">
        <v>73</v>
      </c>
      <c r="AZ114" s="1" t="s">
        <v>73</v>
      </c>
      <c r="BA114" s="126" t="s">
        <v>165</v>
      </c>
      <c r="BB114" s="1">
        <v>1822</v>
      </c>
      <c r="BC114" s="100">
        <v>45635.787199074075</v>
      </c>
      <c r="BD114" s="85">
        <v>45635.745532407411</v>
      </c>
      <c r="BE114" s="1" t="s">
        <v>73</v>
      </c>
      <c r="BF114" s="1" t="s">
        <v>73</v>
      </c>
      <c r="BG114" s="1" t="s">
        <v>73</v>
      </c>
      <c r="BH114" s="1" t="s">
        <v>73</v>
      </c>
      <c r="BI114" s="1" t="s">
        <v>73</v>
      </c>
      <c r="BJ114" s="1" t="s">
        <v>73</v>
      </c>
      <c r="BK114" s="1"/>
      <c r="BL114" s="1" t="s">
        <v>73</v>
      </c>
      <c r="BM114" s="1" t="s">
        <v>73</v>
      </c>
      <c r="BN114" s="1" t="s">
        <v>73</v>
      </c>
      <c r="BO114" s="1" t="s">
        <v>73</v>
      </c>
      <c r="BP114" s="1" t="s">
        <v>73</v>
      </c>
      <c r="BQ114" s="1" t="s">
        <v>73</v>
      </c>
      <c r="BR114" s="1"/>
      <c r="BS114" s="1" t="s">
        <v>73</v>
      </c>
      <c r="BT114" s="1" t="s">
        <v>73</v>
      </c>
      <c r="BU114" s="1" t="s">
        <v>73</v>
      </c>
      <c r="BV114" s="1" t="s">
        <v>73</v>
      </c>
      <c r="BW114" s="1"/>
    </row>
    <row r="115" spans="1:75" ht="16" x14ac:dyDescent="0.2">
      <c r="A115" t="s">
        <v>138</v>
      </c>
      <c r="B115" t="s">
        <v>182</v>
      </c>
      <c r="C115" t="s">
        <v>150</v>
      </c>
      <c r="D115" s="1" t="s">
        <v>73</v>
      </c>
      <c r="E115" s="1" t="s">
        <v>72</v>
      </c>
      <c r="F115" s="1" t="s">
        <v>72</v>
      </c>
      <c r="G115" s="1" t="s">
        <v>72</v>
      </c>
      <c r="H115" s="1"/>
      <c r="I115" s="1">
        <v>3</v>
      </c>
      <c r="N115" s="1"/>
      <c r="O115" s="1"/>
      <c r="P115" s="1"/>
      <c r="Q115" s="1" t="s">
        <v>73</v>
      </c>
      <c r="R115" s="1" t="s">
        <v>73</v>
      </c>
      <c r="S115" s="1" t="s">
        <v>73</v>
      </c>
      <c r="T115" s="79"/>
      <c r="U115" s="79"/>
      <c r="V115" s="1"/>
      <c r="W115" s="1"/>
      <c r="X115" s="1"/>
      <c r="Y115" s="1"/>
      <c r="Z115" s="1" t="s">
        <v>73</v>
      </c>
      <c r="AA115" s="1" t="s">
        <v>73</v>
      </c>
      <c r="AC115" s="1"/>
      <c r="AE115" s="1"/>
      <c r="AF115" s="1"/>
      <c r="AK115" s="1" t="s">
        <v>73</v>
      </c>
      <c r="AL115" s="1" t="s">
        <v>72</v>
      </c>
      <c r="AM115">
        <v>6</v>
      </c>
      <c r="AN115" s="1" t="s">
        <v>72</v>
      </c>
      <c r="AO115">
        <v>6</v>
      </c>
      <c r="AP115" s="1" t="s">
        <v>73</v>
      </c>
      <c r="AR115" s="1" t="s">
        <v>72</v>
      </c>
      <c r="AS115">
        <v>3</v>
      </c>
      <c r="AT115" t="s">
        <v>73</v>
      </c>
      <c r="AW115" s="1">
        <v>30</v>
      </c>
      <c r="AX115" s="1">
        <v>2</v>
      </c>
      <c r="AY115" s="1" t="s">
        <v>73</v>
      </c>
      <c r="AZ115" s="1" t="s">
        <v>73</v>
      </c>
      <c r="BA115" s="126" t="s">
        <v>73</v>
      </c>
      <c r="BB115" s="1">
        <v>1819</v>
      </c>
      <c r="BC115" s="100">
        <v>45634.99622685185</v>
      </c>
      <c r="BD115" s="85">
        <v>45656.68545138889</v>
      </c>
      <c r="BE115" s="1" t="s">
        <v>73</v>
      </c>
      <c r="BF115" s="1" t="s">
        <v>73</v>
      </c>
      <c r="BG115" s="1" t="s">
        <v>73</v>
      </c>
      <c r="BH115" s="1" t="s">
        <v>73</v>
      </c>
      <c r="BI115" s="1" t="s">
        <v>73</v>
      </c>
      <c r="BJ115" s="1" t="s">
        <v>73</v>
      </c>
      <c r="BK115" s="1"/>
      <c r="BL115" s="1" t="s">
        <v>73</v>
      </c>
      <c r="BM115" s="1" t="s">
        <v>73</v>
      </c>
      <c r="BN115" s="1" t="s">
        <v>73</v>
      </c>
      <c r="BO115" s="1" t="s">
        <v>73</v>
      </c>
      <c r="BP115" s="1" t="s">
        <v>73</v>
      </c>
      <c r="BQ115" s="1" t="s">
        <v>73</v>
      </c>
      <c r="BR115" s="1"/>
      <c r="BS115" s="1" t="s">
        <v>169</v>
      </c>
      <c r="BT115" s="1" t="s">
        <v>73</v>
      </c>
      <c r="BU115" s="1" t="s">
        <v>73</v>
      </c>
      <c r="BV115" s="1" t="s">
        <v>73</v>
      </c>
      <c r="BW115" s="1">
        <v>8</v>
      </c>
    </row>
    <row r="116" spans="1:75" ht="16" x14ac:dyDescent="0.2">
      <c r="A116" t="s">
        <v>138</v>
      </c>
      <c r="B116" t="s">
        <v>183</v>
      </c>
      <c r="C116" t="s">
        <v>137</v>
      </c>
      <c r="D116" s="1" t="s">
        <v>73</v>
      </c>
      <c r="E116" s="1" t="s">
        <v>72</v>
      </c>
      <c r="F116" s="1" t="s">
        <v>72</v>
      </c>
      <c r="G116" s="1" t="s">
        <v>73</v>
      </c>
      <c r="H116" s="1"/>
      <c r="I116" s="1"/>
      <c r="N116" s="1"/>
      <c r="O116" s="1"/>
      <c r="P116" s="1"/>
      <c r="Q116" s="1" t="s">
        <v>73</v>
      </c>
      <c r="R116" s="1" t="s">
        <v>73</v>
      </c>
      <c r="S116" s="1" t="s">
        <v>73</v>
      </c>
      <c r="T116" s="79"/>
      <c r="U116" s="79"/>
      <c r="V116" s="1"/>
      <c r="W116" s="1"/>
      <c r="X116" s="1"/>
      <c r="Y116" s="1"/>
      <c r="Z116" s="1" t="s">
        <v>73</v>
      </c>
      <c r="AA116" s="1" t="s">
        <v>73</v>
      </c>
      <c r="AC116" s="1"/>
      <c r="AE116" s="1"/>
      <c r="AF116" s="1"/>
      <c r="AK116" s="1" t="s">
        <v>73</v>
      </c>
      <c r="AL116" s="1" t="s">
        <v>72</v>
      </c>
      <c r="AM116">
        <v>6</v>
      </c>
      <c r="AN116" s="1" t="s">
        <v>72</v>
      </c>
      <c r="AO116">
        <v>4</v>
      </c>
      <c r="AP116" s="1" t="s">
        <v>73</v>
      </c>
      <c r="AR116" s="1" t="s">
        <v>72</v>
      </c>
      <c r="AS116">
        <v>5</v>
      </c>
      <c r="AT116" t="s">
        <v>73</v>
      </c>
      <c r="AW116" s="1">
        <v>16</v>
      </c>
      <c r="AX116" s="1">
        <v>1</v>
      </c>
      <c r="AY116" s="1" t="s">
        <v>73</v>
      </c>
      <c r="AZ116" s="1" t="s">
        <v>73</v>
      </c>
      <c r="BA116" s="126" t="s">
        <v>73</v>
      </c>
      <c r="BB116" s="1">
        <v>1813</v>
      </c>
      <c r="BC116" s="100">
        <v>45630.951053240744</v>
      </c>
      <c r="BD116" s="85">
        <v>45631.712673611109</v>
      </c>
      <c r="BE116" s="1" t="s">
        <v>73</v>
      </c>
      <c r="BF116" s="1" t="s">
        <v>73</v>
      </c>
      <c r="BG116" s="1" t="s">
        <v>73</v>
      </c>
      <c r="BH116" s="1" t="s">
        <v>73</v>
      </c>
      <c r="BI116" s="1" t="s">
        <v>73</v>
      </c>
      <c r="BJ116" s="1" t="s">
        <v>73</v>
      </c>
      <c r="BK116" s="1"/>
      <c r="BL116" s="1" t="s">
        <v>73</v>
      </c>
      <c r="BM116" s="1" t="s">
        <v>73</v>
      </c>
      <c r="BN116" s="1" t="s">
        <v>73</v>
      </c>
      <c r="BO116" s="1" t="s">
        <v>73</v>
      </c>
      <c r="BP116" s="1" t="s">
        <v>73</v>
      </c>
      <c r="BQ116" s="1" t="s">
        <v>73</v>
      </c>
      <c r="BR116" s="1"/>
      <c r="BS116" s="1" t="s">
        <v>73</v>
      </c>
      <c r="BT116" s="1" t="s">
        <v>73</v>
      </c>
      <c r="BU116" s="1" t="s">
        <v>73</v>
      </c>
      <c r="BV116" s="1" t="s">
        <v>73</v>
      </c>
      <c r="BW116" s="1"/>
    </row>
    <row r="117" spans="1:75" ht="16" x14ac:dyDescent="0.2">
      <c r="A117" t="s">
        <v>138</v>
      </c>
      <c r="B117" t="s">
        <v>178</v>
      </c>
      <c r="C117" t="s">
        <v>132</v>
      </c>
      <c r="D117" s="1" t="s">
        <v>73</v>
      </c>
      <c r="E117" s="1" t="s">
        <v>72</v>
      </c>
      <c r="F117" s="1" t="s">
        <v>72</v>
      </c>
      <c r="G117" s="1" t="s">
        <v>73</v>
      </c>
      <c r="H117" s="1"/>
      <c r="I117" s="1"/>
      <c r="N117" s="1"/>
      <c r="O117" s="1"/>
      <c r="P117" s="1"/>
      <c r="Q117" s="1" t="s">
        <v>73</v>
      </c>
      <c r="R117" s="1" t="s">
        <v>73</v>
      </c>
      <c r="S117" s="1" t="s">
        <v>73</v>
      </c>
      <c r="T117" s="79"/>
      <c r="U117" s="79"/>
      <c r="V117" s="1"/>
      <c r="W117" s="1"/>
      <c r="X117" s="1"/>
      <c r="Y117" s="1"/>
      <c r="Z117" s="1" t="s">
        <v>73</v>
      </c>
      <c r="AA117" s="1" t="s">
        <v>73</v>
      </c>
      <c r="AC117" s="1"/>
      <c r="AE117" s="1"/>
      <c r="AF117" s="1"/>
      <c r="AK117" s="1" t="s">
        <v>73</v>
      </c>
      <c r="AL117" s="1" t="s">
        <v>72</v>
      </c>
      <c r="AM117">
        <v>6</v>
      </c>
      <c r="AN117" s="1" t="s">
        <v>72</v>
      </c>
      <c r="AO117">
        <v>6</v>
      </c>
      <c r="AP117" s="1" t="s">
        <v>72</v>
      </c>
      <c r="AQ117">
        <v>6</v>
      </c>
      <c r="AR117" s="1" t="s">
        <v>72</v>
      </c>
      <c r="AS117">
        <v>6</v>
      </c>
      <c r="AT117" t="s">
        <v>72</v>
      </c>
      <c r="AU117">
        <v>1</v>
      </c>
      <c r="AV117">
        <v>1</v>
      </c>
      <c r="AW117" s="1">
        <v>25</v>
      </c>
      <c r="AX117" s="1">
        <v>3</v>
      </c>
      <c r="AY117" s="1" t="s">
        <v>73</v>
      </c>
      <c r="AZ117" s="1" t="s">
        <v>73</v>
      </c>
      <c r="BA117" s="126" t="s">
        <v>73</v>
      </c>
      <c r="BB117" s="1">
        <v>1808</v>
      </c>
      <c r="BC117" s="100">
        <v>45619.804212962961</v>
      </c>
      <c r="BD117" s="85">
        <v>45631.712268518517</v>
      </c>
      <c r="BE117" s="1" t="s">
        <v>73</v>
      </c>
      <c r="BF117" s="1" t="s">
        <v>73</v>
      </c>
      <c r="BG117" s="1" t="s">
        <v>73</v>
      </c>
      <c r="BH117" s="1" t="s">
        <v>73</v>
      </c>
      <c r="BI117" s="1" t="s">
        <v>73</v>
      </c>
      <c r="BJ117" s="1" t="s">
        <v>73</v>
      </c>
      <c r="BK117" s="1"/>
      <c r="BL117" s="1" t="s">
        <v>73</v>
      </c>
      <c r="BM117" s="1" t="s">
        <v>73</v>
      </c>
      <c r="BN117" s="1" t="s">
        <v>73</v>
      </c>
      <c r="BO117" s="1" t="s">
        <v>73</v>
      </c>
      <c r="BP117" s="1" t="s">
        <v>73</v>
      </c>
      <c r="BQ117" s="1" t="s">
        <v>73</v>
      </c>
      <c r="BR117" s="1"/>
      <c r="BS117" s="1" t="s">
        <v>73</v>
      </c>
      <c r="BT117" s="1" t="s">
        <v>73</v>
      </c>
      <c r="BU117" s="1" t="s">
        <v>73</v>
      </c>
      <c r="BV117" s="1" t="s">
        <v>73</v>
      </c>
      <c r="BW117" s="1"/>
    </row>
    <row r="118" spans="1:75" x14ac:dyDescent="0.2">
      <c r="A118" t="s">
        <v>79</v>
      </c>
      <c r="C118">
        <f>SUBTOTAL(103,Kringdagen[Naam vereniging])</f>
        <v>111</v>
      </c>
      <c r="D118">
        <f>COUNTIF(Kringdagen[Delegatie],"x")</f>
        <v>8</v>
      </c>
      <c r="E118" s="16">
        <f>COUNTIF(Kringdagen[Muziekkorps bij mars en defilé],"x")</f>
        <v>97</v>
      </c>
      <c r="F118" s="16">
        <f>COUNTIF(Kringdagen[Deeln. jeugdkoningschieten],"x")</f>
        <v>69</v>
      </c>
      <c r="G118" s="16">
        <f>COUNTIF(Kringdagen[Maj. Senioren jureren bij mars],"x")</f>
        <v>13</v>
      </c>
      <c r="H118" s="16">
        <f>COUNTIF(Kringdagen[Maj. Jeugd jureren bij mars],"x")</f>
        <v>6</v>
      </c>
      <c r="I118" s="16">
        <f>SUBTOTAL(103,Kringdagen[Korps senioren])</f>
        <v>80</v>
      </c>
      <c r="J118">
        <f>SUBTOTAL(103,Kringdagen[Junioren korps 1])</f>
        <v>35</v>
      </c>
      <c r="K118">
        <f>SUBTOTAL(103,Kringdagen[Junioren korps 2])</f>
        <v>0</v>
      </c>
      <c r="L118">
        <f>SUBTOTAL(103,Kringdagen[Aspiranten korps 1])</f>
        <v>28</v>
      </c>
      <c r="M118">
        <f>SUBTOTAL(103,Kringdagen[Aspiranten korps 2])</f>
        <v>5</v>
      </c>
      <c r="N118" s="16">
        <f>SUBTOTAL(103,Kringdagen[Acrobatisch senioren])</f>
        <v>12</v>
      </c>
      <c r="O118" s="16">
        <f>COUNTIF(Kringdagen[Acrobatisch junioren],"x")</f>
        <v>0</v>
      </c>
      <c r="P118" s="16">
        <f>COUNTIF(Kringdagen[Acrobatisch aspiranten],"x")</f>
        <v>0</v>
      </c>
      <c r="R118">
        <f>SUBTOTAL(103,Kringdagen[Show junioren])</f>
        <v>111</v>
      </c>
      <c r="S118">
        <f>SUBTOTAL(103,Kringdagen[Show aspiranten])</f>
        <v>111</v>
      </c>
      <c r="T118" s="79">
        <f>SUBTOTAL(109,Kringdagen[Senioren indiv.])</f>
        <v>42</v>
      </c>
      <c r="U118" s="79">
        <f>SUBTOTAL(109,Kringdagen[Junioren indiv.])</f>
        <v>20</v>
      </c>
      <c r="V118" s="1">
        <f>SUBTOTAL(109,Kringdagen[Aspiranten indiv.])</f>
        <v>16</v>
      </c>
      <c r="W118" s="1">
        <f>SUBTOTAL(109,Kringdagen[Sen. ind opgegeven namen])</f>
        <v>42</v>
      </c>
      <c r="X118" s="1">
        <f>SUBTOTAL(109,Kringdagen[Jun. ind opgegeven namen])</f>
        <v>20</v>
      </c>
      <c r="Y118" s="1">
        <f>SUBTOTAL(109,Kringdagen[Asp. ind opgegeven namen])</f>
        <v>17</v>
      </c>
      <c r="Z118" s="16">
        <f>COUNTIF(Kringdagen[Hoofdkorps],"x")</f>
        <v>16</v>
      </c>
      <c r="AA118" s="16">
        <f>COUNTIF(Kringdagen[2e korps],"x")</f>
        <v>0</v>
      </c>
      <c r="AB118">
        <f>SUBTOTAL(103,Kringdagen[Groepen, teams, ensembles en duo''s])</f>
        <v>18</v>
      </c>
      <c r="AC118">
        <f>SUBTOTAL(109,Kringdagen[Senioren])</f>
        <v>208</v>
      </c>
      <c r="AD118">
        <f>SUBTOTAL(109,Kringdagen[Jong volwassene])</f>
        <v>15</v>
      </c>
      <c r="AE118">
        <f>SUBTOTAL(109,Kringdagen[Junioren])</f>
        <v>14</v>
      </c>
      <c r="AF118">
        <f>SUBTOTAL(109,Kringdagen[Aspiranten])</f>
        <v>18</v>
      </c>
      <c r="AG118">
        <f>SUBTOTAL(109,Kringdagen[Opgegeven senioren])</f>
        <v>203</v>
      </c>
      <c r="AH118">
        <f>SUBTOTAL(109,Kringdagen[Opgegeven jong volwassene])</f>
        <v>12</v>
      </c>
      <c r="AI118">
        <f>SUBTOTAL(109,Kringdagen[Opgegeven junioren])</f>
        <v>14</v>
      </c>
      <c r="AJ118">
        <f>SUBTOTAL(109,Kringdagen[Opgegeven aspiranten])</f>
        <v>18</v>
      </c>
      <c r="AK118">
        <f>COUNTIF(Kringdagen[Acrobatisch aspiranten],"x")</f>
        <v>0</v>
      </c>
      <c r="AL118">
        <f>COUNTIF(Kringdagen[Luchtgeweer],"x")</f>
        <v>67</v>
      </c>
      <c r="AM118">
        <f>SUBTOTAL(109,Kringdagen[Aantal luchtgeweerschutters])</f>
        <v>368</v>
      </c>
      <c r="AN118">
        <f>COUNTIF(Kringdagen[Luchtpistool],"x")</f>
        <v>58</v>
      </c>
      <c r="AO118">
        <f>SUBTOTAL(109,Kringdagen[Aantal luchtpistoolschutters])</f>
        <v>309</v>
      </c>
      <c r="AP118">
        <f>COUNTIF(Kringdagen[Handboog],"x")</f>
        <v>5</v>
      </c>
      <c r="AQ118">
        <f>SUBTOTAL(109,Kringdagen[Aantal handboogschutters])</f>
        <v>30</v>
      </c>
      <c r="AR118">
        <f>COUNTIF(Kringdagen[Kruisboog],"x")</f>
        <v>53</v>
      </c>
      <c r="AS118">
        <f>SUBTOTAL(109,Kringdagen[Aantal kruisboogschutters])</f>
        <v>292</v>
      </c>
      <c r="AT118">
        <f>COUNTIF(Kringdagen[[#Headers],[#Data],[Luchtgeweer jeugd niet ouder dan 17 jaar.]],"x")</f>
        <v>27</v>
      </c>
      <c r="AU118">
        <f>SUBTOTAL(109,Kringdagen[Aantal korpsen])</f>
        <v>48</v>
      </c>
      <c r="AV118">
        <f>SUBTOTAL(109,Kringdagen[Opgegeven jeugdkorpsen LG])</f>
        <v>27</v>
      </c>
      <c r="AW118">
        <f>SUBTOTAL(109,Kringdagen[Totaal aantal deelnemers])</f>
        <v>5675</v>
      </c>
      <c r="AX118">
        <f>SUBTOTAL(109,Kringdagen[Waarvan aantal jeugd (t/m 15 jaar)])</f>
        <v>1001</v>
      </c>
      <c r="AY118">
        <f>COUNTIF(Kringdagen[Kanon etc.],"x")</f>
        <v>30</v>
      </c>
      <c r="AZ118">
        <f>COUNTIF(Kringdagen[Paarden en/of koetsen],"x")</f>
        <v>10</v>
      </c>
      <c r="BQ118" s="1"/>
      <c r="BR118" s="1"/>
      <c r="BS118" s="1"/>
      <c r="BT118" s="1"/>
      <c r="BU118" s="1"/>
      <c r="BV118" s="1"/>
      <c r="BW118" s="1">
        <f>SUBTOTAL(109,Kringdagen[Aantal opgegeven majorettes])</f>
        <v>268</v>
      </c>
    </row>
  </sheetData>
  <mergeCells count="13">
    <mergeCell ref="D3:H3"/>
    <mergeCell ref="T4:Y4"/>
    <mergeCell ref="BE4:BK4"/>
    <mergeCell ref="BL4:BR4"/>
    <mergeCell ref="BS4:BW4"/>
    <mergeCell ref="I3:Y3"/>
    <mergeCell ref="Z3:AA3"/>
    <mergeCell ref="AL3:AV3"/>
    <mergeCell ref="BE3:BR3"/>
    <mergeCell ref="BS3:BW3"/>
    <mergeCell ref="N4:P4"/>
    <mergeCell ref="Q4:S4"/>
    <mergeCell ref="AW3:BD3"/>
  </mergeCells>
  <phoneticPr fontId="2" type="noConversion"/>
  <conditionalFormatting sqref="W6:W117">
    <cfRule type="expression" dxfId="49" priority="22">
      <formula>$T6-$W6&lt;&gt;0</formula>
    </cfRule>
  </conditionalFormatting>
  <conditionalFormatting sqref="X6:X117">
    <cfRule type="expression" dxfId="48" priority="7">
      <formula>$U6-$X6&lt;&gt;0</formula>
    </cfRule>
  </conditionalFormatting>
  <conditionalFormatting sqref="Y6:Y117">
    <cfRule type="expression" dxfId="47" priority="6">
      <formula>$V6-$Y6&lt;&gt;0</formula>
    </cfRule>
  </conditionalFormatting>
  <conditionalFormatting sqref="AG6:AG117">
    <cfRule type="expression" dxfId="46" priority="5">
      <formula>$AC6-$AG6&lt;&gt;0</formula>
    </cfRule>
  </conditionalFormatting>
  <conditionalFormatting sqref="AH6:AH117">
    <cfRule type="expression" dxfId="45" priority="4">
      <formula>$AD6-$AH6&lt;&gt;0</formula>
    </cfRule>
  </conditionalFormatting>
  <conditionalFormatting sqref="AI6:AI117">
    <cfRule type="expression" dxfId="44" priority="3">
      <formula>$AE6-$AI6&lt;&gt;0</formula>
    </cfRule>
  </conditionalFormatting>
  <conditionalFormatting sqref="AJ6:AJ117">
    <cfRule type="expression" dxfId="43" priority="2">
      <formula>$AF6-$AJ6&lt;&gt;0</formula>
    </cfRule>
  </conditionalFormatting>
  <conditionalFormatting sqref="AV6:AV117">
    <cfRule type="expression" dxfId="42" priority="1">
      <formula>$AU6-$AV6&lt;&gt;0</formula>
    </cfRule>
  </conditionalFormatting>
  <pageMargins left="0.7" right="0.7" top="0.75" bottom="0.75" header="0.3" footer="0.3"/>
  <pageSetup paperSize="9" orientation="landscape" horizont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B857-9D6B-40E6-B1B5-B048A8634108}">
  <dimension ref="A1:CP23"/>
  <sheetViews>
    <sheetView zoomScale="110" zoomScaleNormal="110" workbookViewId="0">
      <pane xSplit="3" ySplit="7" topLeftCell="D21" activePane="bottomRight" state="frozen"/>
      <selection pane="topRight" activeCell="D1" sqref="D1"/>
      <selection pane="bottomLeft" activeCell="A8" sqref="A8"/>
      <selection pane="bottomRight" activeCell="A24" sqref="A24:XFD44"/>
    </sheetView>
  </sheetViews>
  <sheetFormatPr baseColWidth="10" defaultColWidth="9.1640625" defaultRowHeight="15" x14ac:dyDescent="0.2"/>
  <cols>
    <col min="1" max="1" width="10.33203125" bestFit="1" customWidth="1"/>
    <col min="2" max="2" width="8.6640625" bestFit="1" customWidth="1"/>
    <col min="3" max="3" width="35" style="70" bestFit="1" customWidth="1"/>
    <col min="4" max="4" width="3.5" style="1" bestFit="1" customWidth="1"/>
    <col min="5" max="16" width="8.5" style="1" bestFit="1" customWidth="1"/>
    <col min="17" max="19" width="7.6640625" style="1" hidden="1" customWidth="1"/>
    <col min="20" max="25" width="8.5" style="1" bestFit="1" customWidth="1"/>
    <col min="26" max="27" width="8.5" style="1" hidden="1" customWidth="1"/>
    <col min="28" max="32" width="8.5" style="1" bestFit="1" customWidth="1"/>
    <col min="33" max="35" width="3.5" style="1" bestFit="1" customWidth="1"/>
    <col min="36" max="36" width="8.5" style="1" bestFit="1" customWidth="1"/>
    <col min="37" max="38" width="8.5" style="1" hidden="1" customWidth="1"/>
    <col min="39" max="39" width="3.5" style="1" hidden="1" customWidth="1"/>
    <col min="40" max="40" width="8.5" style="1" hidden="1" customWidth="1"/>
    <col min="41" max="41" width="3.5" style="1" hidden="1" customWidth="1"/>
    <col min="42" max="42" width="8.5" style="1" hidden="1" customWidth="1"/>
    <col min="43" max="43" width="3.5" style="1" hidden="1" customWidth="1"/>
    <col min="44" max="44" width="8.5" style="61" hidden="1" customWidth="1"/>
    <col min="45" max="45" width="3.5" hidden="1" customWidth="1"/>
    <col min="46" max="47" width="8.5" hidden="1" customWidth="1"/>
    <col min="48" max="48" width="3.5" hidden="1" customWidth="1"/>
    <col min="49" max="49" width="8.5" style="63" bestFit="1" customWidth="1"/>
    <col min="50" max="50" width="8.5" style="1" bestFit="1" customWidth="1"/>
    <col min="51" max="51" width="8.5" style="33" bestFit="1" customWidth="1"/>
    <col min="52" max="52" width="8.5" bestFit="1" customWidth="1"/>
    <col min="53" max="53" width="41.5" bestFit="1" customWidth="1"/>
    <col min="54" max="54" width="8.5" bestFit="1" customWidth="1"/>
    <col min="55" max="55" width="10.1640625" bestFit="1" customWidth="1"/>
    <col min="56" max="56" width="15" bestFit="1" customWidth="1"/>
    <col min="57" max="63" width="8.5" hidden="1" customWidth="1"/>
    <col min="64" max="70" width="7.6640625" hidden="1" customWidth="1"/>
    <col min="71" max="71" width="8.5" bestFit="1" customWidth="1"/>
    <col min="72" max="74" width="42" bestFit="1" customWidth="1"/>
    <col min="75" max="75" width="8.5" style="1" bestFit="1" customWidth="1"/>
    <col min="76" max="79" width="8.33203125" hidden="1" customWidth="1"/>
    <col min="80" max="81" width="8.33203125" style="33" hidden="1" customWidth="1"/>
    <col min="82" max="83" width="7.6640625" style="33" bestFit="1" customWidth="1"/>
    <col min="84" max="84" width="10.1640625" style="33" bestFit="1" customWidth="1"/>
    <col min="85" max="85" width="33" style="33" bestFit="1" customWidth="1"/>
    <col min="86" max="86" width="10.1640625" style="33" bestFit="1" customWidth="1"/>
    <col min="87" max="90" width="6.83203125" style="33" bestFit="1" customWidth="1"/>
    <col min="91" max="91" width="15.83203125" style="33" bestFit="1" customWidth="1"/>
    <col min="92" max="93" width="9.33203125" style="33" bestFit="1" customWidth="1"/>
  </cols>
  <sheetData>
    <row r="1" spans="1:94" ht="27" customHeight="1" x14ac:dyDescent="0.2">
      <c r="A1" s="148" t="s">
        <v>80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72"/>
      <c r="CE1" s="72"/>
      <c r="CF1" s="72"/>
      <c r="CG1" s="72"/>
      <c r="CH1" s="72"/>
      <c r="CI1" s="72"/>
      <c r="CJ1" s="72"/>
      <c r="CK1" s="72"/>
      <c r="CL1" s="72"/>
      <c r="CM1" s="72"/>
      <c r="CN1"/>
      <c r="CO1"/>
    </row>
    <row r="2" spans="1:94" ht="20" thickBot="1" x14ac:dyDescent="0.3">
      <c r="A2" s="149" t="s">
        <v>140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50"/>
      <c r="BT2" s="150"/>
      <c r="BU2" s="150"/>
      <c r="BV2" s="150"/>
      <c r="BW2" s="150"/>
      <c r="BX2" s="150"/>
      <c r="BY2" s="150"/>
      <c r="BZ2" s="150"/>
      <c r="CA2" s="149"/>
      <c r="CB2" s="149"/>
      <c r="CC2" s="149"/>
      <c r="CD2" s="73"/>
      <c r="CE2" s="73"/>
      <c r="CF2" s="73"/>
      <c r="CG2" s="73"/>
      <c r="CH2" s="73"/>
      <c r="CI2" s="73"/>
      <c r="CJ2" s="73"/>
      <c r="CK2" s="73"/>
      <c r="CL2" s="73"/>
      <c r="CM2" s="73"/>
      <c r="CN2"/>
      <c r="CO2"/>
    </row>
    <row r="3" spans="1:94" ht="16" thickBot="1" x14ac:dyDescent="0.25">
      <c r="A3" s="20"/>
      <c r="B3" s="21"/>
      <c r="C3" s="121"/>
      <c r="D3" s="139" t="s">
        <v>1</v>
      </c>
      <c r="E3" s="140"/>
      <c r="F3" s="140"/>
      <c r="G3" s="140"/>
      <c r="H3" s="141"/>
      <c r="I3" s="142" t="s">
        <v>2</v>
      </c>
      <c r="J3" s="143"/>
      <c r="K3" s="143"/>
      <c r="L3" s="143"/>
      <c r="M3" s="143"/>
      <c r="N3" s="143"/>
      <c r="O3" s="143"/>
      <c r="P3" s="143"/>
      <c r="Q3" s="143"/>
      <c r="R3" s="143"/>
      <c r="S3" s="143"/>
      <c r="T3" s="143"/>
      <c r="U3" s="143"/>
      <c r="V3" s="143"/>
      <c r="W3" s="143"/>
      <c r="X3" s="143"/>
      <c r="Y3" s="144"/>
      <c r="Z3" s="139" t="s">
        <v>3</v>
      </c>
      <c r="AA3" s="141"/>
      <c r="AB3" s="26" t="s">
        <v>4</v>
      </c>
      <c r="AC3" s="93" t="s">
        <v>5</v>
      </c>
      <c r="AD3" s="94"/>
      <c r="AE3" s="94"/>
      <c r="AF3" s="94"/>
      <c r="AG3" s="94"/>
      <c r="AH3" s="94"/>
      <c r="AI3" s="94"/>
      <c r="AJ3" s="111"/>
      <c r="AK3" s="26" t="s">
        <v>6</v>
      </c>
      <c r="AL3" s="139" t="s">
        <v>7</v>
      </c>
      <c r="AM3" s="140"/>
      <c r="AN3" s="140"/>
      <c r="AO3" s="140"/>
      <c r="AP3" s="140"/>
      <c r="AQ3" s="140"/>
      <c r="AR3" s="140"/>
      <c r="AS3" s="140"/>
      <c r="AT3" s="140"/>
      <c r="AU3" s="140"/>
      <c r="AV3" s="141"/>
      <c r="AW3" s="139" t="s">
        <v>8</v>
      </c>
      <c r="AX3" s="140"/>
      <c r="AY3" s="140"/>
      <c r="AZ3" s="140"/>
      <c r="BA3" s="140"/>
      <c r="BB3" s="140"/>
      <c r="BC3" s="140"/>
      <c r="BD3" s="141"/>
      <c r="BE3" s="142" t="s">
        <v>9</v>
      </c>
      <c r="BF3" s="143"/>
      <c r="BG3" s="143"/>
      <c r="BH3" s="143"/>
      <c r="BI3" s="143"/>
      <c r="BJ3" s="143"/>
      <c r="BK3" s="143"/>
      <c r="BL3" s="143"/>
      <c r="BM3" s="143"/>
      <c r="BN3" s="143"/>
      <c r="BO3" s="143"/>
      <c r="BP3" s="143"/>
      <c r="BQ3" s="143"/>
      <c r="BR3" s="143"/>
      <c r="BS3" s="145" t="s">
        <v>10</v>
      </c>
      <c r="BT3" s="146"/>
      <c r="BU3" s="146"/>
      <c r="BV3" s="146"/>
      <c r="BW3" s="147"/>
      <c r="BX3" s="103"/>
      <c r="BY3" s="103"/>
      <c r="BZ3" s="104"/>
      <c r="CA3" s="74"/>
      <c r="CB3" s="74"/>
      <c r="CC3" s="80"/>
      <c r="CD3" s="80"/>
      <c r="CE3" s="34"/>
      <c r="CF3" s="34"/>
      <c r="CG3" s="34"/>
      <c r="CH3" s="34"/>
      <c r="CI3" s="34"/>
      <c r="CJ3" s="34"/>
      <c r="CK3"/>
      <c r="CL3"/>
      <c r="CM3"/>
      <c r="CN3"/>
      <c r="CO3"/>
    </row>
    <row r="4" spans="1:94" ht="16" thickBot="1" x14ac:dyDescent="0.25">
      <c r="A4" s="23"/>
      <c r="B4" s="24"/>
      <c r="C4" s="122"/>
      <c r="D4" s="23"/>
      <c r="E4" s="24"/>
      <c r="F4" s="24"/>
      <c r="G4" s="24"/>
      <c r="H4" s="25"/>
      <c r="I4" s="86" t="s">
        <v>11</v>
      </c>
      <c r="J4" s="108"/>
      <c r="K4" s="108"/>
      <c r="L4" s="108"/>
      <c r="M4" s="109"/>
      <c r="N4" s="142" t="s">
        <v>88</v>
      </c>
      <c r="O4" s="143"/>
      <c r="P4" s="144"/>
      <c r="Q4" s="142" t="s">
        <v>13</v>
      </c>
      <c r="R4" s="143"/>
      <c r="S4" s="144"/>
      <c r="T4" s="142" t="s">
        <v>14</v>
      </c>
      <c r="U4" s="143"/>
      <c r="V4" s="143"/>
      <c r="W4" s="143"/>
      <c r="X4" s="143"/>
      <c r="Y4" s="144"/>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18"/>
      <c r="AZ4" s="24"/>
      <c r="BA4" s="62"/>
      <c r="BB4" s="24"/>
      <c r="BC4" s="24"/>
      <c r="BD4" s="25"/>
      <c r="BE4" s="142" t="s">
        <v>15</v>
      </c>
      <c r="BF4" s="143"/>
      <c r="BG4" s="143"/>
      <c r="BH4" s="143"/>
      <c r="BI4" s="143"/>
      <c r="BJ4" s="143"/>
      <c r="BK4" s="144"/>
      <c r="BL4" s="142" t="s">
        <v>16</v>
      </c>
      <c r="BM4" s="143"/>
      <c r="BN4" s="143"/>
      <c r="BO4" s="143"/>
      <c r="BP4" s="143"/>
      <c r="BQ4" s="143"/>
      <c r="BR4" s="144"/>
      <c r="BS4" s="142"/>
      <c r="BT4" s="143"/>
      <c r="BU4" s="143"/>
      <c r="BV4" s="143"/>
      <c r="BW4" s="144"/>
      <c r="BX4" s="80"/>
      <c r="BY4" s="80"/>
      <c r="BZ4" s="34"/>
      <c r="CA4" s="34"/>
      <c r="CB4" s="34"/>
      <c r="CC4" s="34"/>
      <c r="CD4" s="34"/>
      <c r="CE4" s="34"/>
      <c r="CF4"/>
      <c r="CG4"/>
      <c r="CH4"/>
      <c r="CI4"/>
      <c r="CJ4"/>
      <c r="CK4"/>
      <c r="CL4"/>
      <c r="CM4"/>
      <c r="CN4"/>
      <c r="CO4"/>
    </row>
    <row r="5" spans="1:94" ht="16" hidden="1" thickBot="1" x14ac:dyDescent="0.25">
      <c r="AR5" s="63"/>
      <c r="AS5" s="1"/>
      <c r="AT5" s="1"/>
      <c r="AU5" s="1"/>
      <c r="AV5" s="1"/>
      <c r="AZ5" s="1"/>
      <c r="BA5" s="1"/>
      <c r="BB5" s="1"/>
      <c r="BC5" s="1"/>
      <c r="BD5" s="1"/>
      <c r="BE5" s="1"/>
      <c r="BF5" s="1"/>
      <c r="BG5" s="1"/>
      <c r="BH5" s="1"/>
      <c r="BI5" s="1"/>
      <c r="BJ5" s="1"/>
      <c r="BK5" s="1"/>
      <c r="BL5" s="1"/>
      <c r="BM5" s="1"/>
      <c r="BN5" s="1"/>
      <c r="BO5" s="1"/>
      <c r="BP5" s="1"/>
      <c r="BQ5" s="1"/>
      <c r="BR5" s="1"/>
      <c r="BS5" s="1"/>
      <c r="BT5" s="1"/>
      <c r="BU5" s="1"/>
      <c r="BV5" s="1"/>
      <c r="BX5" s="1"/>
      <c r="BY5" s="1"/>
      <c r="BZ5" s="1"/>
      <c r="CA5" s="1"/>
      <c r="CB5" s="1"/>
      <c r="CC5" s="1"/>
      <c r="CD5" s="1"/>
      <c r="CE5" s="1"/>
      <c r="CF5" s="1"/>
      <c r="CG5" s="1"/>
      <c r="CH5" s="1"/>
      <c r="CI5" s="1"/>
      <c r="CJ5" s="1"/>
      <c r="CK5" s="1"/>
      <c r="CL5" s="1"/>
      <c r="CM5" s="1"/>
      <c r="CN5" s="1"/>
      <c r="CO5" s="1"/>
      <c r="CP5" s="1"/>
    </row>
    <row r="6" spans="1:94" ht="16" hidden="1" thickBot="1" x14ac:dyDescent="0.25"/>
    <row r="7" spans="1:94" s="2" customFormat="1" ht="213" thickBot="1" x14ac:dyDescent="0.25">
      <c r="A7" s="6" t="s">
        <v>17</v>
      </c>
      <c r="B7" s="7" t="s">
        <v>18</v>
      </c>
      <c r="C7" s="123" t="s">
        <v>19</v>
      </c>
      <c r="D7" s="3" t="s">
        <v>20</v>
      </c>
      <c r="E7" s="4" t="s">
        <v>21</v>
      </c>
      <c r="F7" s="4" t="s">
        <v>22</v>
      </c>
      <c r="G7" s="4" t="s">
        <v>23</v>
      </c>
      <c r="H7" s="4" t="s">
        <v>24</v>
      </c>
      <c r="I7" s="9" t="s">
        <v>25</v>
      </c>
      <c r="J7" s="10" t="s">
        <v>126</v>
      </c>
      <c r="K7" s="10" t="s">
        <v>127</v>
      </c>
      <c r="L7" s="10" t="s">
        <v>128</v>
      </c>
      <c r="M7" s="11" t="s">
        <v>129</v>
      </c>
      <c r="N7" s="10" t="s">
        <v>26</v>
      </c>
      <c r="O7" s="10" t="s">
        <v>27</v>
      </c>
      <c r="P7" s="11" t="s">
        <v>28</v>
      </c>
      <c r="Q7" s="9" t="s">
        <v>29</v>
      </c>
      <c r="R7" s="10" t="s">
        <v>30</v>
      </c>
      <c r="S7" s="11" t="s">
        <v>31</v>
      </c>
      <c r="T7" s="9" t="s">
        <v>32</v>
      </c>
      <c r="U7" s="10" t="s">
        <v>33</v>
      </c>
      <c r="V7" s="10" t="s">
        <v>34</v>
      </c>
      <c r="W7" s="12" t="s">
        <v>35</v>
      </c>
      <c r="X7" s="12" t="s">
        <v>36</v>
      </c>
      <c r="Y7" s="13" t="s">
        <v>37</v>
      </c>
      <c r="Z7" s="9" t="s">
        <v>15</v>
      </c>
      <c r="AA7" s="11" t="s">
        <v>16</v>
      </c>
      <c r="AB7" s="10" t="s">
        <v>110</v>
      </c>
      <c r="AC7" s="9" t="s">
        <v>38</v>
      </c>
      <c r="AD7" s="10" t="s">
        <v>111</v>
      </c>
      <c r="AE7" s="10" t="s">
        <v>39</v>
      </c>
      <c r="AF7" s="10" t="s">
        <v>40</v>
      </c>
      <c r="AG7" s="92" t="s">
        <v>112</v>
      </c>
      <c r="AH7" s="92" t="s">
        <v>113</v>
      </c>
      <c r="AI7" s="92" t="s">
        <v>114</v>
      </c>
      <c r="AJ7" s="118" t="s">
        <v>115</v>
      </c>
      <c r="AK7" s="14" t="s">
        <v>41</v>
      </c>
      <c r="AL7" s="9" t="s">
        <v>42</v>
      </c>
      <c r="AM7" s="92" t="s">
        <v>122</v>
      </c>
      <c r="AN7" s="10" t="s">
        <v>43</v>
      </c>
      <c r="AO7" s="92" t="s">
        <v>123</v>
      </c>
      <c r="AP7" s="10" t="s">
        <v>45</v>
      </c>
      <c r="AQ7" s="92" t="s">
        <v>124</v>
      </c>
      <c r="AR7" s="10" t="s">
        <v>44</v>
      </c>
      <c r="AS7" s="92" t="s">
        <v>125</v>
      </c>
      <c r="AT7" s="10" t="s">
        <v>116</v>
      </c>
      <c r="AU7" s="10" t="s">
        <v>117</v>
      </c>
      <c r="AV7" s="92" t="s">
        <v>118</v>
      </c>
      <c r="AW7" s="9" t="s">
        <v>46</v>
      </c>
      <c r="AX7" s="10" t="s">
        <v>47</v>
      </c>
      <c r="AY7" s="10" t="s">
        <v>48</v>
      </c>
      <c r="AZ7" s="10" t="s">
        <v>49</v>
      </c>
      <c r="BA7" s="96" t="s">
        <v>50</v>
      </c>
      <c r="BB7" s="10" t="s">
        <v>51</v>
      </c>
      <c r="BC7" s="10" t="s">
        <v>52</v>
      </c>
      <c r="BD7" s="10" t="s">
        <v>108</v>
      </c>
      <c r="BE7" s="9" t="s">
        <v>53</v>
      </c>
      <c r="BF7" s="10" t="s">
        <v>54</v>
      </c>
      <c r="BG7" s="10" t="s">
        <v>55</v>
      </c>
      <c r="BH7" s="10" t="s">
        <v>56</v>
      </c>
      <c r="BI7" s="10" t="s">
        <v>57</v>
      </c>
      <c r="BJ7" s="10" t="s">
        <v>58</v>
      </c>
      <c r="BK7" s="11" t="s">
        <v>59</v>
      </c>
      <c r="BL7" s="9" t="s">
        <v>60</v>
      </c>
      <c r="BM7" s="10" t="s">
        <v>61</v>
      </c>
      <c r="BN7" s="10" t="s">
        <v>62</v>
      </c>
      <c r="BO7" s="10" t="s">
        <v>63</v>
      </c>
      <c r="BP7" s="10" t="s">
        <v>64</v>
      </c>
      <c r="BQ7" s="10" t="s">
        <v>65</v>
      </c>
      <c r="BR7" s="10" t="s">
        <v>66</v>
      </c>
      <c r="BS7" s="9" t="s">
        <v>70</v>
      </c>
      <c r="BT7" s="10" t="s">
        <v>67</v>
      </c>
      <c r="BU7" s="10" t="s">
        <v>68</v>
      </c>
      <c r="BV7" s="10" t="s">
        <v>69</v>
      </c>
      <c r="BW7" s="11" t="s">
        <v>71</v>
      </c>
    </row>
    <row r="8" spans="1:94" s="2" customFormat="1" ht="16" x14ac:dyDescent="0.2">
      <c r="A8" s="5" t="s">
        <v>167</v>
      </c>
      <c r="B8" s="5" t="s">
        <v>367</v>
      </c>
      <c r="C8" s="89" t="s">
        <v>368</v>
      </c>
      <c r="D8" s="89" t="s">
        <v>73</v>
      </c>
      <c r="E8" s="5" t="s">
        <v>72</v>
      </c>
      <c r="F8" s="5" t="s">
        <v>73</v>
      </c>
      <c r="G8" s="5" t="s">
        <v>73</v>
      </c>
      <c r="H8" s="102"/>
      <c r="I8" s="5">
        <v>2</v>
      </c>
      <c r="J8" s="1">
        <v>1</v>
      </c>
      <c r="K8" s="1"/>
      <c r="L8" s="1"/>
      <c r="M8" s="1"/>
      <c r="N8" s="5"/>
      <c r="O8" s="5"/>
      <c r="P8" s="5"/>
      <c r="Q8" s="5" t="s">
        <v>73</v>
      </c>
      <c r="R8" s="5" t="s">
        <v>73</v>
      </c>
      <c r="S8" s="5" t="s">
        <v>73</v>
      </c>
      <c r="T8" s="5"/>
      <c r="U8" s="5"/>
      <c r="V8" s="5"/>
      <c r="W8" s="1"/>
      <c r="X8" s="90"/>
      <c r="Y8" s="90"/>
      <c r="Z8" s="5" t="s">
        <v>73</v>
      </c>
      <c r="AA8" s="5" t="s">
        <v>73</v>
      </c>
      <c r="AB8" s="1"/>
      <c r="AC8" s="5"/>
      <c r="AD8"/>
      <c r="AE8" s="5"/>
      <c r="AF8" s="5"/>
      <c r="AG8" s="5"/>
      <c r="AH8" s="5"/>
      <c r="AI8"/>
      <c r="AJ8" s="1"/>
      <c r="AK8" s="5" t="s">
        <v>73</v>
      </c>
      <c r="AL8" s="5" t="s">
        <v>73</v>
      </c>
      <c r="AM8"/>
      <c r="AN8" s="5" t="s">
        <v>73</v>
      </c>
      <c r="AO8"/>
      <c r="AP8" s="5" t="s">
        <v>73</v>
      </c>
      <c r="AQ8"/>
      <c r="AR8" s="5" t="s">
        <v>73</v>
      </c>
      <c r="AS8"/>
      <c r="AT8" t="s">
        <v>73</v>
      </c>
      <c r="AU8"/>
      <c r="AV8"/>
      <c r="AW8" s="1">
        <v>50</v>
      </c>
      <c r="AX8" s="1">
        <v>0</v>
      </c>
      <c r="AY8" s="136" t="s">
        <v>73</v>
      </c>
      <c r="AZ8" s="4" t="s">
        <v>72</v>
      </c>
      <c r="BA8" s="91" t="s">
        <v>73</v>
      </c>
      <c r="BB8">
        <v>1985</v>
      </c>
      <c r="BC8" s="101">
        <v>45657.799756944441</v>
      </c>
      <c r="BD8" s="85">
        <v>45657.758090277777</v>
      </c>
      <c r="BE8" t="s">
        <v>73</v>
      </c>
      <c r="BF8" t="s">
        <v>73</v>
      </c>
      <c r="BG8" t="s">
        <v>73</v>
      </c>
      <c r="BH8" t="s">
        <v>73</v>
      </c>
      <c r="BI8" t="s">
        <v>73</v>
      </c>
      <c r="BJ8" t="s">
        <v>73</v>
      </c>
      <c r="BK8"/>
      <c r="BL8" t="s">
        <v>73</v>
      </c>
      <c r="BM8" t="s">
        <v>73</v>
      </c>
      <c r="BN8" t="s">
        <v>73</v>
      </c>
      <c r="BO8" t="s">
        <v>73</v>
      </c>
      <c r="BP8" t="s">
        <v>73</v>
      </c>
      <c r="BQ8" t="s">
        <v>73</v>
      </c>
      <c r="BR8"/>
      <c r="BS8" t="s">
        <v>73</v>
      </c>
      <c r="BT8" t="s">
        <v>369</v>
      </c>
      <c r="BU8" t="s">
        <v>369</v>
      </c>
      <c r="BV8" t="s">
        <v>369</v>
      </c>
      <c r="BW8" s="1"/>
    </row>
    <row r="9" spans="1:94" ht="64" x14ac:dyDescent="0.2">
      <c r="A9" s="5" t="s">
        <v>167</v>
      </c>
      <c r="B9" s="5" t="s">
        <v>348</v>
      </c>
      <c r="C9" s="89" t="s">
        <v>349</v>
      </c>
      <c r="D9" s="89" t="s">
        <v>73</v>
      </c>
      <c r="E9" s="5" t="s">
        <v>72</v>
      </c>
      <c r="F9" s="5" t="s">
        <v>73</v>
      </c>
      <c r="G9" s="5" t="s">
        <v>72</v>
      </c>
      <c r="H9" s="102" t="s">
        <v>74</v>
      </c>
      <c r="I9" s="5"/>
      <c r="N9" s="5"/>
      <c r="O9" s="5"/>
      <c r="P9" s="5"/>
      <c r="Q9" s="5" t="s">
        <v>73</v>
      </c>
      <c r="R9" s="5" t="s">
        <v>73</v>
      </c>
      <c r="S9" s="5" t="s">
        <v>73</v>
      </c>
      <c r="T9" s="5"/>
      <c r="U9" s="5"/>
      <c r="V9" s="5"/>
      <c r="X9" s="90"/>
      <c r="Y9" s="90"/>
      <c r="Z9" s="5" t="s">
        <v>73</v>
      </c>
      <c r="AA9" s="5" t="s">
        <v>73</v>
      </c>
      <c r="AB9" s="1">
        <v>11</v>
      </c>
      <c r="AC9" s="5">
        <v>2</v>
      </c>
      <c r="AD9">
        <v>1</v>
      </c>
      <c r="AE9" s="5"/>
      <c r="AF9" s="5">
        <v>2</v>
      </c>
      <c r="AG9" s="5">
        <v>2</v>
      </c>
      <c r="AH9" s="5">
        <v>1</v>
      </c>
      <c r="AI9"/>
      <c r="AJ9" s="1">
        <v>2</v>
      </c>
      <c r="AK9" s="5" t="s">
        <v>73</v>
      </c>
      <c r="AL9" s="5" t="s">
        <v>73</v>
      </c>
      <c r="AM9"/>
      <c r="AN9" s="5" t="s">
        <v>73</v>
      </c>
      <c r="AO9"/>
      <c r="AP9" s="5" t="s">
        <v>73</v>
      </c>
      <c r="AQ9"/>
      <c r="AR9" s="5" t="s">
        <v>73</v>
      </c>
      <c r="AT9" t="s">
        <v>73</v>
      </c>
      <c r="AW9" s="1">
        <v>50</v>
      </c>
      <c r="AX9" s="1">
        <v>15</v>
      </c>
      <c r="AY9" s="136" t="s">
        <v>72</v>
      </c>
      <c r="AZ9" s="4" t="s">
        <v>73</v>
      </c>
      <c r="BA9" s="91" t="s">
        <v>401</v>
      </c>
      <c r="BB9">
        <v>1980</v>
      </c>
      <c r="BC9" s="101">
        <v>45656.847210648149</v>
      </c>
      <c r="BD9" s="85">
        <v>45658.751192129632</v>
      </c>
      <c r="BE9" t="s">
        <v>73</v>
      </c>
      <c r="BF9" t="s">
        <v>73</v>
      </c>
      <c r="BG9" t="s">
        <v>73</v>
      </c>
      <c r="BH9" t="s">
        <v>73</v>
      </c>
      <c r="BI9" t="s">
        <v>73</v>
      </c>
      <c r="BJ9" t="s">
        <v>73</v>
      </c>
      <c r="BL9" t="s">
        <v>73</v>
      </c>
      <c r="BM9" t="s">
        <v>73</v>
      </c>
      <c r="BN9" t="s">
        <v>73</v>
      </c>
      <c r="BO9" t="s">
        <v>73</v>
      </c>
      <c r="BP9" t="s">
        <v>73</v>
      </c>
      <c r="BQ9" t="s">
        <v>73</v>
      </c>
      <c r="BS9" t="s">
        <v>75</v>
      </c>
      <c r="BT9" t="s">
        <v>370</v>
      </c>
      <c r="BU9" t="s">
        <v>371</v>
      </c>
      <c r="BV9" t="s">
        <v>372</v>
      </c>
      <c r="BW9" s="1">
        <v>18</v>
      </c>
      <c r="CB9"/>
      <c r="CC9"/>
      <c r="CD9"/>
      <c r="CE9"/>
      <c r="CF9"/>
      <c r="CG9"/>
      <c r="CH9"/>
      <c r="CI9"/>
      <c r="CJ9"/>
      <c r="CK9"/>
      <c r="CL9"/>
      <c r="CM9"/>
      <c r="CN9"/>
      <c r="CO9"/>
    </row>
    <row r="10" spans="1:94" ht="48" x14ac:dyDescent="0.2">
      <c r="A10" s="5" t="s">
        <v>167</v>
      </c>
      <c r="B10" s="5" t="s">
        <v>329</v>
      </c>
      <c r="C10" s="89" t="s">
        <v>330</v>
      </c>
      <c r="D10" s="89" t="s">
        <v>73</v>
      </c>
      <c r="E10" s="5" t="s">
        <v>72</v>
      </c>
      <c r="F10" s="5" t="s">
        <v>72</v>
      </c>
      <c r="G10" s="5" t="s">
        <v>73</v>
      </c>
      <c r="H10" s="102"/>
      <c r="I10" s="5">
        <v>9</v>
      </c>
      <c r="N10" s="5"/>
      <c r="O10" s="5"/>
      <c r="P10" s="5"/>
      <c r="Q10" s="5" t="s">
        <v>73</v>
      </c>
      <c r="R10" s="5" t="s">
        <v>73</v>
      </c>
      <c r="S10" s="5" t="s">
        <v>73</v>
      </c>
      <c r="T10" s="5"/>
      <c r="U10" s="5"/>
      <c r="V10" s="5"/>
      <c r="X10" s="90"/>
      <c r="Y10" s="90"/>
      <c r="Z10" s="5" t="s">
        <v>73</v>
      </c>
      <c r="AA10" s="5" t="s">
        <v>73</v>
      </c>
      <c r="AC10" s="5">
        <v>2</v>
      </c>
      <c r="AD10">
        <v>2</v>
      </c>
      <c r="AE10" s="5"/>
      <c r="AF10" s="5">
        <v>1</v>
      </c>
      <c r="AG10" s="5">
        <v>3</v>
      </c>
      <c r="AH10" s="5">
        <v>1</v>
      </c>
      <c r="AI10"/>
      <c r="AJ10" s="1">
        <v>1</v>
      </c>
      <c r="AK10" s="5" t="s">
        <v>73</v>
      </c>
      <c r="AL10" s="5" t="s">
        <v>73</v>
      </c>
      <c r="AM10"/>
      <c r="AN10" s="5" t="s">
        <v>73</v>
      </c>
      <c r="AO10"/>
      <c r="AP10" s="5" t="s">
        <v>73</v>
      </c>
      <c r="AQ10"/>
      <c r="AR10" s="5" t="s">
        <v>73</v>
      </c>
      <c r="AT10" t="s">
        <v>73</v>
      </c>
      <c r="AW10" s="1">
        <v>80</v>
      </c>
      <c r="AX10" s="1">
        <v>20</v>
      </c>
      <c r="AY10" s="136" t="s">
        <v>72</v>
      </c>
      <c r="AZ10" s="4" t="s">
        <v>73</v>
      </c>
      <c r="BA10" s="91" t="s">
        <v>402</v>
      </c>
      <c r="BB10">
        <v>1968</v>
      </c>
      <c r="BC10" s="101">
        <v>45655.670208333337</v>
      </c>
      <c r="BD10" s="85">
        <v>45658.752060185187</v>
      </c>
      <c r="BE10" t="s">
        <v>73</v>
      </c>
      <c r="BF10" t="s">
        <v>73</v>
      </c>
      <c r="BG10" t="s">
        <v>73</v>
      </c>
      <c r="BH10" t="s">
        <v>73</v>
      </c>
      <c r="BI10" t="s">
        <v>73</v>
      </c>
      <c r="BJ10" t="s">
        <v>73</v>
      </c>
      <c r="BL10" t="s">
        <v>73</v>
      </c>
      <c r="BM10" t="s">
        <v>73</v>
      </c>
      <c r="BN10" t="s">
        <v>73</v>
      </c>
      <c r="BO10" t="s">
        <v>73</v>
      </c>
      <c r="BP10" t="s">
        <v>73</v>
      </c>
      <c r="BQ10" t="s">
        <v>73</v>
      </c>
      <c r="BS10" t="s">
        <v>73</v>
      </c>
      <c r="BT10" t="s">
        <v>369</v>
      </c>
      <c r="BU10" t="s">
        <v>369</v>
      </c>
      <c r="BV10" t="s">
        <v>369</v>
      </c>
      <c r="BX10" s="33"/>
      <c r="BY10" s="33"/>
      <c r="BZ10" s="33"/>
      <c r="CB10"/>
      <c r="CC10"/>
      <c r="CD10"/>
      <c r="CE10"/>
      <c r="CF10"/>
      <c r="CG10"/>
      <c r="CH10"/>
      <c r="CI10"/>
      <c r="CJ10"/>
      <c r="CK10"/>
      <c r="CL10"/>
      <c r="CM10"/>
      <c r="CN10"/>
      <c r="CO10"/>
    </row>
    <row r="11" spans="1:94" ht="16" x14ac:dyDescent="0.2">
      <c r="A11" s="5" t="s">
        <v>167</v>
      </c>
      <c r="B11" s="5" t="s">
        <v>303</v>
      </c>
      <c r="C11" s="89" t="s">
        <v>304</v>
      </c>
      <c r="D11" s="89" t="s">
        <v>73</v>
      </c>
      <c r="E11" s="5" t="s">
        <v>73</v>
      </c>
      <c r="F11" s="5" t="s">
        <v>73</v>
      </c>
      <c r="G11" s="5" t="s">
        <v>73</v>
      </c>
      <c r="H11" s="102"/>
      <c r="I11" s="5">
        <v>4</v>
      </c>
      <c r="N11" s="5"/>
      <c r="O11" s="5"/>
      <c r="P11" s="5"/>
      <c r="Q11" s="5" t="s">
        <v>73</v>
      </c>
      <c r="R11" s="5" t="s">
        <v>73</v>
      </c>
      <c r="S11" s="5" t="s">
        <v>73</v>
      </c>
      <c r="T11" s="5"/>
      <c r="U11" s="5"/>
      <c r="V11" s="5"/>
      <c r="X11" s="90"/>
      <c r="Y11" s="90"/>
      <c r="Z11" s="5" t="s">
        <v>73</v>
      </c>
      <c r="AA11" s="5" t="s">
        <v>73</v>
      </c>
      <c r="AC11" s="5"/>
      <c r="AD11"/>
      <c r="AE11" s="5"/>
      <c r="AF11" s="5"/>
      <c r="AG11" s="5"/>
      <c r="AH11" s="5"/>
      <c r="AI11"/>
      <c r="AK11" s="5" t="s">
        <v>73</v>
      </c>
      <c r="AL11" s="5" t="s">
        <v>73</v>
      </c>
      <c r="AM11"/>
      <c r="AN11" s="5" t="s">
        <v>73</v>
      </c>
      <c r="AO11"/>
      <c r="AP11" s="5" t="s">
        <v>73</v>
      </c>
      <c r="AQ11"/>
      <c r="AR11" s="5" t="s">
        <v>73</v>
      </c>
      <c r="AT11" t="s">
        <v>73</v>
      </c>
      <c r="AW11" s="1">
        <v>12</v>
      </c>
      <c r="AX11" s="1">
        <v>0</v>
      </c>
      <c r="AY11" s="136" t="s">
        <v>73</v>
      </c>
      <c r="AZ11" s="4" t="s">
        <v>73</v>
      </c>
      <c r="BA11" s="91" t="s">
        <v>305</v>
      </c>
      <c r="BB11">
        <v>1944</v>
      </c>
      <c r="BC11" s="101">
        <v>45653.597291666665</v>
      </c>
      <c r="BD11" s="85">
        <v>45653.555625000001</v>
      </c>
      <c r="BE11" t="s">
        <v>73</v>
      </c>
      <c r="BF11" t="s">
        <v>73</v>
      </c>
      <c r="BG11" t="s">
        <v>73</v>
      </c>
      <c r="BH11" t="s">
        <v>73</v>
      </c>
      <c r="BI11" t="s">
        <v>73</v>
      </c>
      <c r="BJ11" t="s">
        <v>73</v>
      </c>
      <c r="BL11" t="s">
        <v>73</v>
      </c>
      <c r="BM11" t="s">
        <v>73</v>
      </c>
      <c r="BN11" t="s">
        <v>73</v>
      </c>
      <c r="BO11" t="s">
        <v>73</v>
      </c>
      <c r="BP11" t="s">
        <v>73</v>
      </c>
      <c r="BQ11" t="s">
        <v>73</v>
      </c>
      <c r="BS11" t="s">
        <v>73</v>
      </c>
      <c r="BT11" t="s">
        <v>369</v>
      </c>
      <c r="BU11" t="s">
        <v>369</v>
      </c>
      <c r="BV11" t="s">
        <v>369</v>
      </c>
      <c r="BX11" s="1"/>
      <c r="BY11" s="1"/>
      <c r="CB11"/>
      <c r="CC11"/>
      <c r="CD11"/>
      <c r="CE11"/>
      <c r="CF11"/>
      <c r="CG11"/>
      <c r="CH11"/>
      <c r="CI11"/>
      <c r="CJ11"/>
      <c r="CK11"/>
      <c r="CL11"/>
      <c r="CM11"/>
      <c r="CN11"/>
      <c r="CO11"/>
    </row>
    <row r="12" spans="1:94" ht="16" x14ac:dyDescent="0.2">
      <c r="A12" s="5" t="s">
        <v>167</v>
      </c>
      <c r="B12" s="5" t="s">
        <v>306</v>
      </c>
      <c r="C12" s="89" t="s">
        <v>307</v>
      </c>
      <c r="D12" s="89" t="s">
        <v>73</v>
      </c>
      <c r="E12" s="5" t="s">
        <v>72</v>
      </c>
      <c r="F12" s="5" t="s">
        <v>73</v>
      </c>
      <c r="G12" s="5" t="s">
        <v>73</v>
      </c>
      <c r="H12" s="102"/>
      <c r="I12" s="5">
        <v>4</v>
      </c>
      <c r="N12" s="5"/>
      <c r="O12" s="5"/>
      <c r="P12" s="5"/>
      <c r="Q12" s="5" t="s">
        <v>73</v>
      </c>
      <c r="R12" s="5" t="s">
        <v>73</v>
      </c>
      <c r="S12" s="5" t="s">
        <v>73</v>
      </c>
      <c r="T12" s="5"/>
      <c r="U12" s="5"/>
      <c r="V12" s="5"/>
      <c r="X12" s="90"/>
      <c r="Y12" s="90"/>
      <c r="Z12" s="5" t="s">
        <v>73</v>
      </c>
      <c r="AA12" s="5" t="s">
        <v>73</v>
      </c>
      <c r="AC12" s="5"/>
      <c r="AD12"/>
      <c r="AE12" s="5"/>
      <c r="AF12" s="5"/>
      <c r="AG12" s="5"/>
      <c r="AH12" s="5"/>
      <c r="AI12"/>
      <c r="AK12" s="5" t="s">
        <v>73</v>
      </c>
      <c r="AL12" s="5" t="s">
        <v>73</v>
      </c>
      <c r="AM12"/>
      <c r="AN12" s="5" t="s">
        <v>73</v>
      </c>
      <c r="AO12"/>
      <c r="AP12" s="5" t="s">
        <v>73</v>
      </c>
      <c r="AQ12"/>
      <c r="AR12" s="5" t="s">
        <v>73</v>
      </c>
      <c r="AT12" t="s">
        <v>73</v>
      </c>
      <c r="AW12" s="1">
        <v>25</v>
      </c>
      <c r="AX12" s="1">
        <v>5</v>
      </c>
      <c r="AY12" s="136" t="s">
        <v>73</v>
      </c>
      <c r="AZ12" s="4" t="s">
        <v>73</v>
      </c>
      <c r="BA12" s="91" t="s">
        <v>308</v>
      </c>
      <c r="BB12">
        <v>1940</v>
      </c>
      <c r="BC12" s="101">
        <v>45653.434432870374</v>
      </c>
      <c r="BD12" s="85">
        <v>45653.392766203702</v>
      </c>
      <c r="BE12" t="s">
        <v>73</v>
      </c>
      <c r="BF12" t="s">
        <v>73</v>
      </c>
      <c r="BG12" t="s">
        <v>73</v>
      </c>
      <c r="BH12" t="s">
        <v>73</v>
      </c>
      <c r="BI12" t="s">
        <v>73</v>
      </c>
      <c r="BJ12" t="s">
        <v>73</v>
      </c>
      <c r="BL12" t="s">
        <v>73</v>
      </c>
      <c r="BM12" t="s">
        <v>73</v>
      </c>
      <c r="BN12" t="s">
        <v>73</v>
      </c>
      <c r="BO12" t="s">
        <v>73</v>
      </c>
      <c r="BP12" t="s">
        <v>73</v>
      </c>
      <c r="BQ12" t="s">
        <v>73</v>
      </c>
      <c r="BS12" t="s">
        <v>73</v>
      </c>
      <c r="BT12" t="s">
        <v>369</v>
      </c>
      <c r="BU12" t="s">
        <v>369</v>
      </c>
      <c r="BV12" t="s">
        <v>369</v>
      </c>
      <c r="BX12" s="33"/>
      <c r="BY12" s="33"/>
      <c r="BZ12" s="33"/>
      <c r="CB12"/>
      <c r="CC12"/>
      <c r="CD12"/>
      <c r="CE12"/>
      <c r="CF12"/>
      <c r="CG12"/>
      <c r="CH12"/>
      <c r="CI12"/>
      <c r="CJ12"/>
      <c r="CK12"/>
      <c r="CL12"/>
      <c r="CM12"/>
      <c r="CN12"/>
      <c r="CO12"/>
    </row>
    <row r="13" spans="1:94" ht="16" x14ac:dyDescent="0.2">
      <c r="A13" s="5" t="s">
        <v>167</v>
      </c>
      <c r="B13" s="5" t="s">
        <v>288</v>
      </c>
      <c r="C13" s="89" t="s">
        <v>289</v>
      </c>
      <c r="D13" s="89" t="s">
        <v>73</v>
      </c>
      <c r="E13" s="5" t="s">
        <v>72</v>
      </c>
      <c r="F13" s="5" t="s">
        <v>72</v>
      </c>
      <c r="G13" s="5" t="s">
        <v>72</v>
      </c>
      <c r="H13" s="102" t="s">
        <v>74</v>
      </c>
      <c r="I13" s="5">
        <v>10</v>
      </c>
      <c r="J13" s="1">
        <v>9</v>
      </c>
      <c r="L13" s="1">
        <v>3</v>
      </c>
      <c r="N13" s="5"/>
      <c r="O13" s="5"/>
      <c r="P13" s="5"/>
      <c r="Q13" s="5" t="s">
        <v>73</v>
      </c>
      <c r="R13" s="5" t="s">
        <v>73</v>
      </c>
      <c r="S13" s="5" t="s">
        <v>73</v>
      </c>
      <c r="T13" s="5"/>
      <c r="U13" s="5"/>
      <c r="V13" s="5"/>
      <c r="W13" s="1">
        <v>1</v>
      </c>
      <c r="X13" s="90"/>
      <c r="Y13" s="90"/>
      <c r="Z13" s="5" t="s">
        <v>73</v>
      </c>
      <c r="AA13" s="5" t="s">
        <v>73</v>
      </c>
      <c r="AB13" s="1">
        <v>4</v>
      </c>
      <c r="AC13" s="5">
        <v>9</v>
      </c>
      <c r="AD13">
        <v>2</v>
      </c>
      <c r="AE13" s="5">
        <v>2</v>
      </c>
      <c r="AF13" s="5">
        <v>2</v>
      </c>
      <c r="AG13" s="5">
        <v>9</v>
      </c>
      <c r="AH13" s="5">
        <v>2</v>
      </c>
      <c r="AI13">
        <v>2</v>
      </c>
      <c r="AJ13" s="1">
        <v>2</v>
      </c>
      <c r="AK13" s="5" t="s">
        <v>73</v>
      </c>
      <c r="AL13" s="5" t="s">
        <v>73</v>
      </c>
      <c r="AM13"/>
      <c r="AN13" s="5" t="s">
        <v>73</v>
      </c>
      <c r="AO13"/>
      <c r="AP13" s="5" t="s">
        <v>73</v>
      </c>
      <c r="AQ13"/>
      <c r="AR13" s="5" t="s">
        <v>73</v>
      </c>
      <c r="AT13" t="s">
        <v>73</v>
      </c>
      <c r="AW13" s="1">
        <v>130</v>
      </c>
      <c r="AX13" s="1">
        <v>35</v>
      </c>
      <c r="AY13" s="136" t="s">
        <v>73</v>
      </c>
      <c r="AZ13" s="4" t="s">
        <v>73</v>
      </c>
      <c r="BA13" s="91" t="s">
        <v>73</v>
      </c>
      <c r="BB13">
        <v>1925</v>
      </c>
      <c r="BC13" s="101">
        <v>45652.501550925925</v>
      </c>
      <c r="BD13" s="85">
        <v>45652.45988425926</v>
      </c>
      <c r="BE13" t="s">
        <v>73</v>
      </c>
      <c r="BF13" t="s">
        <v>73</v>
      </c>
      <c r="BG13" t="s">
        <v>73</v>
      </c>
      <c r="BH13" t="s">
        <v>73</v>
      </c>
      <c r="BI13" t="s">
        <v>73</v>
      </c>
      <c r="BJ13" t="s">
        <v>73</v>
      </c>
      <c r="BL13" t="s">
        <v>73</v>
      </c>
      <c r="BM13" t="s">
        <v>73</v>
      </c>
      <c r="BN13" t="s">
        <v>73</v>
      </c>
      <c r="BO13" t="s">
        <v>73</v>
      </c>
      <c r="BP13" t="s">
        <v>73</v>
      </c>
      <c r="BQ13" t="s">
        <v>73</v>
      </c>
      <c r="BS13" t="s">
        <v>75</v>
      </c>
      <c r="BT13" t="s">
        <v>373</v>
      </c>
      <c r="BU13" t="s">
        <v>374</v>
      </c>
      <c r="BV13" t="s">
        <v>375</v>
      </c>
      <c r="BW13" s="1">
        <v>18</v>
      </c>
      <c r="BX13" s="33"/>
      <c r="BY13" s="33"/>
      <c r="BZ13" s="33"/>
      <c r="CB13"/>
      <c r="CC13"/>
      <c r="CD13"/>
      <c r="CE13"/>
      <c r="CF13"/>
      <c r="CG13"/>
      <c r="CH13"/>
      <c r="CI13"/>
      <c r="CJ13"/>
      <c r="CK13"/>
      <c r="CL13"/>
      <c r="CM13"/>
      <c r="CN13"/>
      <c r="CO13"/>
    </row>
    <row r="14" spans="1:94" ht="16" x14ac:dyDescent="0.2">
      <c r="A14" s="5" t="s">
        <v>167</v>
      </c>
      <c r="B14" s="5" t="s">
        <v>278</v>
      </c>
      <c r="C14" s="89" t="s">
        <v>279</v>
      </c>
      <c r="D14" s="89" t="s">
        <v>73</v>
      </c>
      <c r="E14" s="5" t="s">
        <v>72</v>
      </c>
      <c r="F14" s="5" t="s">
        <v>72</v>
      </c>
      <c r="G14" s="5" t="s">
        <v>73</v>
      </c>
      <c r="H14" s="102" t="s">
        <v>72</v>
      </c>
      <c r="I14" s="5">
        <v>6</v>
      </c>
      <c r="J14" s="1">
        <v>6</v>
      </c>
      <c r="N14" s="5"/>
      <c r="O14" s="5"/>
      <c r="P14" s="5"/>
      <c r="Q14" s="5" t="s">
        <v>73</v>
      </c>
      <c r="R14" s="5" t="s">
        <v>73</v>
      </c>
      <c r="S14" s="5" t="s">
        <v>73</v>
      </c>
      <c r="T14" s="5"/>
      <c r="U14" s="5"/>
      <c r="V14" s="5"/>
      <c r="X14" s="90"/>
      <c r="Y14" s="90"/>
      <c r="Z14" s="5" t="s">
        <v>73</v>
      </c>
      <c r="AA14" s="5" t="s">
        <v>73</v>
      </c>
      <c r="AB14" s="1">
        <v>3</v>
      </c>
      <c r="AC14" s="5">
        <v>3</v>
      </c>
      <c r="AD14"/>
      <c r="AE14" s="5"/>
      <c r="AF14" s="5"/>
      <c r="AG14" s="5">
        <v>3</v>
      </c>
      <c r="AH14" s="5"/>
      <c r="AI14"/>
      <c r="AK14" s="5" t="s">
        <v>73</v>
      </c>
      <c r="AL14" s="5" t="s">
        <v>73</v>
      </c>
      <c r="AM14"/>
      <c r="AN14" s="5" t="s">
        <v>73</v>
      </c>
      <c r="AO14"/>
      <c r="AP14" s="5" t="s">
        <v>73</v>
      </c>
      <c r="AQ14"/>
      <c r="AR14" s="5" t="s">
        <v>73</v>
      </c>
      <c r="AT14" t="s">
        <v>73</v>
      </c>
      <c r="AW14" s="1">
        <v>100</v>
      </c>
      <c r="AX14" s="1">
        <v>30</v>
      </c>
      <c r="AY14" s="136" t="s">
        <v>72</v>
      </c>
      <c r="AZ14" s="4" t="s">
        <v>72</v>
      </c>
      <c r="BA14" s="91" t="s">
        <v>73</v>
      </c>
      <c r="BB14">
        <v>1916</v>
      </c>
      <c r="BC14" s="101">
        <v>45649.823298611111</v>
      </c>
      <c r="BD14" s="85">
        <v>45649.781631944446</v>
      </c>
      <c r="BE14" t="s">
        <v>73</v>
      </c>
      <c r="BF14" t="s">
        <v>73</v>
      </c>
      <c r="BG14" t="s">
        <v>73</v>
      </c>
      <c r="BH14" t="s">
        <v>73</v>
      </c>
      <c r="BI14" t="s">
        <v>73</v>
      </c>
      <c r="BJ14" t="s">
        <v>73</v>
      </c>
      <c r="BL14" t="s">
        <v>73</v>
      </c>
      <c r="BM14" t="s">
        <v>73</v>
      </c>
      <c r="BN14" t="s">
        <v>73</v>
      </c>
      <c r="BO14" t="s">
        <v>73</v>
      </c>
      <c r="BP14" t="s">
        <v>73</v>
      </c>
      <c r="BQ14" t="s">
        <v>73</v>
      </c>
      <c r="BS14" t="s">
        <v>75</v>
      </c>
      <c r="BT14" t="s">
        <v>376</v>
      </c>
      <c r="BU14" t="s">
        <v>377</v>
      </c>
      <c r="BV14" t="s">
        <v>378</v>
      </c>
      <c r="BW14" s="1">
        <v>12</v>
      </c>
      <c r="BX14" s="33"/>
      <c r="BY14" s="33"/>
      <c r="BZ14" s="33"/>
      <c r="CB14"/>
      <c r="CC14"/>
      <c r="CD14"/>
      <c r="CE14"/>
      <c r="CF14"/>
      <c r="CG14"/>
      <c r="CH14"/>
      <c r="CI14"/>
      <c r="CJ14"/>
      <c r="CK14"/>
      <c r="CL14"/>
      <c r="CM14"/>
      <c r="CN14"/>
      <c r="CO14"/>
    </row>
    <row r="15" spans="1:94" ht="16" x14ac:dyDescent="0.2">
      <c r="A15" s="5" t="s">
        <v>167</v>
      </c>
      <c r="B15" s="5" t="s">
        <v>262</v>
      </c>
      <c r="C15" s="89" t="s">
        <v>263</v>
      </c>
      <c r="D15" s="89" t="s">
        <v>73</v>
      </c>
      <c r="E15" s="5" t="s">
        <v>72</v>
      </c>
      <c r="F15" s="5" t="s">
        <v>72</v>
      </c>
      <c r="G15" s="5" t="s">
        <v>72</v>
      </c>
      <c r="H15" s="102" t="s">
        <v>74</v>
      </c>
      <c r="I15" s="5">
        <v>10</v>
      </c>
      <c r="L15" s="1">
        <v>3</v>
      </c>
      <c r="N15" s="5"/>
      <c r="O15" s="5"/>
      <c r="P15" s="5"/>
      <c r="Q15" s="5" t="s">
        <v>73</v>
      </c>
      <c r="R15" s="5" t="s">
        <v>73</v>
      </c>
      <c r="S15" s="5" t="s">
        <v>73</v>
      </c>
      <c r="T15" s="5"/>
      <c r="U15" s="5">
        <v>1</v>
      </c>
      <c r="V15" s="5">
        <v>1</v>
      </c>
      <c r="X15" s="90">
        <v>1</v>
      </c>
      <c r="Y15" s="90">
        <v>1</v>
      </c>
      <c r="Z15" s="5" t="s">
        <v>73</v>
      </c>
      <c r="AA15" s="5" t="s">
        <v>73</v>
      </c>
      <c r="AB15" s="1">
        <v>5</v>
      </c>
      <c r="AC15" s="5">
        <v>9</v>
      </c>
      <c r="AD15"/>
      <c r="AE15" s="5">
        <v>1</v>
      </c>
      <c r="AF15" s="5"/>
      <c r="AG15" s="5">
        <v>9</v>
      </c>
      <c r="AH15" s="5"/>
      <c r="AI15">
        <v>1</v>
      </c>
      <c r="AK15" s="5" t="s">
        <v>73</v>
      </c>
      <c r="AL15" s="5" t="s">
        <v>73</v>
      </c>
      <c r="AM15"/>
      <c r="AN15" s="5" t="s">
        <v>73</v>
      </c>
      <c r="AO15"/>
      <c r="AP15" s="5" t="s">
        <v>73</v>
      </c>
      <c r="AQ15"/>
      <c r="AR15" s="5" t="s">
        <v>73</v>
      </c>
      <c r="AT15" t="s">
        <v>73</v>
      </c>
      <c r="AW15" s="1">
        <v>70</v>
      </c>
      <c r="AX15" s="1">
        <v>26</v>
      </c>
      <c r="AY15" s="136" t="s">
        <v>73</v>
      </c>
      <c r="AZ15" s="4" t="s">
        <v>73</v>
      </c>
      <c r="BA15" s="91" t="s">
        <v>73</v>
      </c>
      <c r="BB15">
        <v>1897</v>
      </c>
      <c r="BC15" s="101">
        <v>45648.873472222222</v>
      </c>
      <c r="BD15" s="85">
        <v>45648.831805555557</v>
      </c>
      <c r="BE15" t="s">
        <v>73</v>
      </c>
      <c r="BF15" t="s">
        <v>73</v>
      </c>
      <c r="BG15" t="s">
        <v>73</v>
      </c>
      <c r="BH15" t="s">
        <v>73</v>
      </c>
      <c r="BI15" t="s">
        <v>73</v>
      </c>
      <c r="BJ15" t="s">
        <v>73</v>
      </c>
      <c r="BL15" t="s">
        <v>73</v>
      </c>
      <c r="BM15" t="s">
        <v>73</v>
      </c>
      <c r="BN15" t="s">
        <v>73</v>
      </c>
      <c r="BO15" t="s">
        <v>73</v>
      </c>
      <c r="BP15" t="s">
        <v>73</v>
      </c>
      <c r="BQ15" t="s">
        <v>73</v>
      </c>
      <c r="BS15" t="s">
        <v>75</v>
      </c>
      <c r="BT15" t="s">
        <v>379</v>
      </c>
      <c r="BU15" t="s">
        <v>380</v>
      </c>
      <c r="BV15" t="s">
        <v>381</v>
      </c>
      <c r="BW15" s="1">
        <v>20</v>
      </c>
      <c r="BX15" s="33"/>
      <c r="BY15" s="33"/>
      <c r="BZ15" s="33"/>
      <c r="CB15"/>
      <c r="CC15"/>
      <c r="CD15"/>
      <c r="CE15"/>
      <c r="CF15"/>
      <c r="CG15"/>
      <c r="CH15"/>
      <c r="CI15"/>
      <c r="CJ15"/>
      <c r="CK15"/>
      <c r="CL15"/>
      <c r="CM15"/>
      <c r="CN15"/>
      <c r="CO15"/>
    </row>
    <row r="16" spans="1:94" ht="32" x14ac:dyDescent="0.2">
      <c r="A16" s="5" t="s">
        <v>167</v>
      </c>
      <c r="B16" s="5" t="s">
        <v>231</v>
      </c>
      <c r="C16" s="89" t="s">
        <v>232</v>
      </c>
      <c r="D16" s="89" t="s">
        <v>73</v>
      </c>
      <c r="E16" s="5" t="s">
        <v>72</v>
      </c>
      <c r="F16" s="5" t="s">
        <v>72</v>
      </c>
      <c r="G16" s="5" t="s">
        <v>73</v>
      </c>
      <c r="H16" s="102"/>
      <c r="I16" s="5">
        <v>10</v>
      </c>
      <c r="N16" s="5"/>
      <c r="O16" s="5"/>
      <c r="P16" s="5"/>
      <c r="Q16" s="5" t="s">
        <v>73</v>
      </c>
      <c r="R16" s="5" t="s">
        <v>73</v>
      </c>
      <c r="S16" s="5" t="s">
        <v>73</v>
      </c>
      <c r="T16" s="5"/>
      <c r="U16" s="5"/>
      <c r="V16" s="5"/>
      <c r="X16" s="90"/>
      <c r="Y16" s="90"/>
      <c r="Z16" s="5" t="s">
        <v>73</v>
      </c>
      <c r="AA16" s="5" t="s">
        <v>73</v>
      </c>
      <c r="AC16" s="5">
        <v>5</v>
      </c>
      <c r="AD16"/>
      <c r="AE16" s="5"/>
      <c r="AF16" s="5"/>
      <c r="AG16" s="5">
        <v>5</v>
      </c>
      <c r="AH16" s="5"/>
      <c r="AI16"/>
      <c r="AK16" s="5" t="s">
        <v>73</v>
      </c>
      <c r="AL16" s="5" t="s">
        <v>73</v>
      </c>
      <c r="AM16"/>
      <c r="AN16" s="5" t="s">
        <v>73</v>
      </c>
      <c r="AO16"/>
      <c r="AP16" s="5" t="s">
        <v>73</v>
      </c>
      <c r="AQ16"/>
      <c r="AR16" s="5" t="s">
        <v>73</v>
      </c>
      <c r="AT16" t="s">
        <v>73</v>
      </c>
      <c r="AW16" s="1">
        <v>70</v>
      </c>
      <c r="AX16" s="1">
        <v>5</v>
      </c>
      <c r="AY16" s="136" t="s">
        <v>72</v>
      </c>
      <c r="AZ16" s="4" t="s">
        <v>73</v>
      </c>
      <c r="BA16" s="91" t="s">
        <v>233</v>
      </c>
      <c r="BB16">
        <v>1872</v>
      </c>
      <c r="BC16" s="101">
        <v>45645.466805555552</v>
      </c>
      <c r="BD16" s="85">
        <v>45645.425138888888</v>
      </c>
      <c r="BE16" t="s">
        <v>73</v>
      </c>
      <c r="BF16" t="s">
        <v>73</v>
      </c>
      <c r="BG16" t="s">
        <v>73</v>
      </c>
      <c r="BH16" t="s">
        <v>73</v>
      </c>
      <c r="BI16" t="s">
        <v>73</v>
      </c>
      <c r="BJ16" t="s">
        <v>73</v>
      </c>
      <c r="BL16" t="s">
        <v>73</v>
      </c>
      <c r="BM16" t="s">
        <v>73</v>
      </c>
      <c r="BN16" t="s">
        <v>73</v>
      </c>
      <c r="BO16" t="s">
        <v>73</v>
      </c>
      <c r="BP16" t="s">
        <v>73</v>
      </c>
      <c r="BQ16" t="s">
        <v>73</v>
      </c>
      <c r="BS16" t="s">
        <v>73</v>
      </c>
      <c r="BT16" t="s">
        <v>369</v>
      </c>
      <c r="BU16" t="s">
        <v>369</v>
      </c>
      <c r="BV16" t="s">
        <v>369</v>
      </c>
      <c r="BX16" s="33"/>
      <c r="BY16" s="33"/>
      <c r="BZ16" s="33"/>
      <c r="CB16"/>
      <c r="CC16"/>
      <c r="CD16"/>
      <c r="CE16"/>
      <c r="CF16"/>
      <c r="CG16"/>
      <c r="CH16"/>
      <c r="CI16"/>
      <c r="CJ16"/>
      <c r="CK16"/>
      <c r="CL16"/>
      <c r="CM16"/>
      <c r="CN16"/>
      <c r="CO16"/>
    </row>
    <row r="17" spans="1:93" ht="16" x14ac:dyDescent="0.2">
      <c r="A17" s="5" t="s">
        <v>167</v>
      </c>
      <c r="B17" s="5" t="s">
        <v>203</v>
      </c>
      <c r="C17" s="89" t="s">
        <v>204</v>
      </c>
      <c r="D17" s="89" t="s">
        <v>73</v>
      </c>
      <c r="E17" s="5" t="s">
        <v>72</v>
      </c>
      <c r="F17" s="5" t="s">
        <v>73</v>
      </c>
      <c r="G17" s="5" t="s">
        <v>73</v>
      </c>
      <c r="H17" s="102"/>
      <c r="I17" s="5"/>
      <c r="N17" s="5"/>
      <c r="O17" s="5"/>
      <c r="P17" s="5"/>
      <c r="Q17" s="5" t="s">
        <v>73</v>
      </c>
      <c r="R17" s="5" t="s">
        <v>73</v>
      </c>
      <c r="S17" s="5" t="s">
        <v>73</v>
      </c>
      <c r="T17" s="5"/>
      <c r="U17" s="5"/>
      <c r="V17" s="5"/>
      <c r="X17" s="90"/>
      <c r="Y17" s="90"/>
      <c r="Z17" s="5" t="s">
        <v>73</v>
      </c>
      <c r="AA17" s="5" t="s">
        <v>73</v>
      </c>
      <c r="AC17" s="5"/>
      <c r="AD17"/>
      <c r="AE17" s="5"/>
      <c r="AF17" s="5"/>
      <c r="AG17" s="5"/>
      <c r="AH17" s="5"/>
      <c r="AI17"/>
      <c r="AK17" s="5" t="s">
        <v>73</v>
      </c>
      <c r="AL17" s="5" t="s">
        <v>73</v>
      </c>
      <c r="AM17"/>
      <c r="AN17" s="5" t="s">
        <v>73</v>
      </c>
      <c r="AO17"/>
      <c r="AP17" s="5" t="s">
        <v>73</v>
      </c>
      <c r="AQ17"/>
      <c r="AR17" s="5" t="s">
        <v>73</v>
      </c>
      <c r="AT17" t="s">
        <v>73</v>
      </c>
      <c r="AW17" s="1">
        <v>55</v>
      </c>
      <c r="AX17" s="1">
        <v>2</v>
      </c>
      <c r="AY17" s="136" t="s">
        <v>72</v>
      </c>
      <c r="AZ17" s="4" t="s">
        <v>73</v>
      </c>
      <c r="BA17" s="91" t="s">
        <v>73</v>
      </c>
      <c r="BB17">
        <v>1842</v>
      </c>
      <c r="BC17" s="101">
        <v>45642.662719907406</v>
      </c>
      <c r="BD17" s="85">
        <v>45642.621053240742</v>
      </c>
      <c r="BE17" t="s">
        <v>73</v>
      </c>
      <c r="BF17" t="s">
        <v>73</v>
      </c>
      <c r="BG17" t="s">
        <v>73</v>
      </c>
      <c r="BH17" t="s">
        <v>73</v>
      </c>
      <c r="BI17" t="s">
        <v>73</v>
      </c>
      <c r="BJ17" t="s">
        <v>73</v>
      </c>
      <c r="BL17" t="s">
        <v>73</v>
      </c>
      <c r="BM17" t="s">
        <v>73</v>
      </c>
      <c r="BN17" t="s">
        <v>73</v>
      </c>
      <c r="BO17" t="s">
        <v>73</v>
      </c>
      <c r="BP17" t="s">
        <v>73</v>
      </c>
      <c r="BQ17" t="s">
        <v>73</v>
      </c>
      <c r="BS17" t="s">
        <v>73</v>
      </c>
      <c r="BT17" t="s">
        <v>369</v>
      </c>
      <c r="BU17" t="s">
        <v>369</v>
      </c>
      <c r="BV17" t="s">
        <v>369</v>
      </c>
      <c r="BX17" s="33"/>
      <c r="BY17" s="33"/>
      <c r="BZ17" s="33"/>
      <c r="CB17"/>
      <c r="CC17"/>
      <c r="CD17"/>
      <c r="CE17"/>
      <c r="CF17"/>
      <c r="CG17"/>
      <c r="CH17"/>
      <c r="CI17"/>
      <c r="CJ17"/>
      <c r="CK17"/>
      <c r="CL17"/>
      <c r="CM17"/>
      <c r="CN17"/>
      <c r="CO17"/>
    </row>
    <row r="18" spans="1:93" ht="16" x14ac:dyDescent="0.2">
      <c r="A18" s="5" t="s">
        <v>167</v>
      </c>
      <c r="B18" s="5" t="s">
        <v>153</v>
      </c>
      <c r="C18" s="89" t="s">
        <v>154</v>
      </c>
      <c r="D18" s="89" t="s">
        <v>73</v>
      </c>
      <c r="E18" s="5" t="s">
        <v>72</v>
      </c>
      <c r="F18" s="5" t="s">
        <v>72</v>
      </c>
      <c r="G18" s="5" t="s">
        <v>73</v>
      </c>
      <c r="H18" s="102"/>
      <c r="I18" s="5">
        <v>14</v>
      </c>
      <c r="N18" s="5">
        <v>6</v>
      </c>
      <c r="O18" s="5"/>
      <c r="P18" s="5"/>
      <c r="Q18" s="5" t="s">
        <v>73</v>
      </c>
      <c r="R18" s="5" t="s">
        <v>73</v>
      </c>
      <c r="S18" s="5" t="s">
        <v>73</v>
      </c>
      <c r="T18" s="5">
        <v>5</v>
      </c>
      <c r="U18" s="5"/>
      <c r="V18" s="5"/>
      <c r="W18" s="1">
        <v>5</v>
      </c>
      <c r="X18" s="90"/>
      <c r="Y18" s="90"/>
      <c r="Z18" s="5" t="s">
        <v>73</v>
      </c>
      <c r="AA18" s="5" t="s">
        <v>73</v>
      </c>
      <c r="AC18" s="5">
        <v>5</v>
      </c>
      <c r="AD18"/>
      <c r="AE18" s="5"/>
      <c r="AF18" s="5"/>
      <c r="AG18" s="5">
        <v>5</v>
      </c>
      <c r="AH18" s="5"/>
      <c r="AI18"/>
      <c r="AK18" s="5" t="s">
        <v>73</v>
      </c>
      <c r="AL18" s="5" t="s">
        <v>73</v>
      </c>
      <c r="AM18"/>
      <c r="AN18" s="5" t="s">
        <v>73</v>
      </c>
      <c r="AO18"/>
      <c r="AP18" s="5" t="s">
        <v>73</v>
      </c>
      <c r="AQ18"/>
      <c r="AR18" s="5" t="s">
        <v>73</v>
      </c>
      <c r="AT18" t="s">
        <v>73</v>
      </c>
      <c r="AW18" s="1">
        <v>50</v>
      </c>
      <c r="AX18" s="1">
        <v>10</v>
      </c>
      <c r="AY18" s="136" t="s">
        <v>72</v>
      </c>
      <c r="AZ18" s="4" t="s">
        <v>73</v>
      </c>
      <c r="BA18" s="91" t="s">
        <v>73</v>
      </c>
      <c r="BB18">
        <v>1837</v>
      </c>
      <c r="BC18" s="101">
        <v>45641.532141203701</v>
      </c>
      <c r="BD18" s="85">
        <v>45641.490474537037</v>
      </c>
      <c r="BE18" t="s">
        <v>73</v>
      </c>
      <c r="BF18" t="s">
        <v>73</v>
      </c>
      <c r="BG18" t="s">
        <v>73</v>
      </c>
      <c r="BH18" t="s">
        <v>73</v>
      </c>
      <c r="BI18" t="s">
        <v>73</v>
      </c>
      <c r="BJ18" t="s">
        <v>73</v>
      </c>
      <c r="BL18" t="s">
        <v>73</v>
      </c>
      <c r="BM18" t="s">
        <v>73</v>
      </c>
      <c r="BN18" t="s">
        <v>73</v>
      </c>
      <c r="BO18" t="s">
        <v>73</v>
      </c>
      <c r="BP18" t="s">
        <v>73</v>
      </c>
      <c r="BQ18" t="s">
        <v>73</v>
      </c>
      <c r="BS18" t="s">
        <v>73</v>
      </c>
      <c r="BT18" t="s">
        <v>369</v>
      </c>
      <c r="BU18" t="s">
        <v>369</v>
      </c>
      <c r="BV18" t="s">
        <v>369</v>
      </c>
      <c r="BX18" s="33"/>
      <c r="BY18" s="33"/>
      <c r="BZ18" s="33"/>
      <c r="CB18"/>
      <c r="CC18"/>
      <c r="CD18"/>
      <c r="CE18"/>
      <c r="CF18"/>
      <c r="CG18"/>
      <c r="CH18"/>
      <c r="CI18"/>
      <c r="CJ18"/>
      <c r="CK18"/>
      <c r="CL18"/>
      <c r="CM18"/>
      <c r="CN18"/>
      <c r="CO18"/>
    </row>
    <row r="19" spans="1:93" ht="16" x14ac:dyDescent="0.2">
      <c r="A19" s="5" t="s">
        <v>167</v>
      </c>
      <c r="B19" s="5" t="s">
        <v>186</v>
      </c>
      <c r="C19" s="89" t="s">
        <v>187</v>
      </c>
      <c r="D19" s="89" t="s">
        <v>73</v>
      </c>
      <c r="E19" s="5" t="s">
        <v>72</v>
      </c>
      <c r="F19" s="5" t="s">
        <v>73</v>
      </c>
      <c r="G19" s="5" t="s">
        <v>72</v>
      </c>
      <c r="H19" s="102" t="s">
        <v>74</v>
      </c>
      <c r="I19" s="5">
        <v>7</v>
      </c>
      <c r="N19" s="5"/>
      <c r="O19" s="5"/>
      <c r="P19" s="5"/>
      <c r="Q19" s="5" t="s">
        <v>73</v>
      </c>
      <c r="R19" s="5" t="s">
        <v>73</v>
      </c>
      <c r="S19" s="5" t="s">
        <v>73</v>
      </c>
      <c r="T19" s="5"/>
      <c r="U19" s="5"/>
      <c r="V19" s="5"/>
      <c r="W19" s="1">
        <v>1</v>
      </c>
      <c r="X19" s="90"/>
      <c r="Y19" s="90"/>
      <c r="Z19" s="5" t="s">
        <v>73</v>
      </c>
      <c r="AA19" s="5" t="s">
        <v>73</v>
      </c>
      <c r="AB19" s="1">
        <v>4</v>
      </c>
      <c r="AC19" s="5">
        <v>5</v>
      </c>
      <c r="AD19"/>
      <c r="AE19" s="5"/>
      <c r="AF19" s="5"/>
      <c r="AG19" s="5">
        <v>4</v>
      </c>
      <c r="AH19" s="5"/>
      <c r="AI19"/>
      <c r="AK19" s="5" t="s">
        <v>73</v>
      </c>
      <c r="AL19" s="5" t="s">
        <v>73</v>
      </c>
      <c r="AM19"/>
      <c r="AN19" s="5" t="s">
        <v>73</v>
      </c>
      <c r="AO19"/>
      <c r="AP19" s="5" t="s">
        <v>73</v>
      </c>
      <c r="AQ19"/>
      <c r="AR19" s="5" t="s">
        <v>73</v>
      </c>
      <c r="AT19" t="s">
        <v>73</v>
      </c>
      <c r="AW19" s="1">
        <v>90</v>
      </c>
      <c r="AX19" s="1">
        <v>20</v>
      </c>
      <c r="AY19" s="136" t="s">
        <v>72</v>
      </c>
      <c r="AZ19" s="4" t="s">
        <v>73</v>
      </c>
      <c r="BA19" s="91" t="s">
        <v>73</v>
      </c>
      <c r="BB19">
        <v>1835</v>
      </c>
      <c r="BC19" s="101">
        <v>45639.889189814814</v>
      </c>
      <c r="BD19" s="85">
        <v>45639.84752314815</v>
      </c>
      <c r="BE19" t="s">
        <v>73</v>
      </c>
      <c r="BF19" t="s">
        <v>73</v>
      </c>
      <c r="BG19" t="s">
        <v>73</v>
      </c>
      <c r="BH19" t="s">
        <v>73</v>
      </c>
      <c r="BI19" t="s">
        <v>73</v>
      </c>
      <c r="BJ19" t="s">
        <v>73</v>
      </c>
      <c r="BL19" t="s">
        <v>73</v>
      </c>
      <c r="BM19" t="s">
        <v>73</v>
      </c>
      <c r="BN19" t="s">
        <v>73</v>
      </c>
      <c r="BO19" t="s">
        <v>73</v>
      </c>
      <c r="BP19" t="s">
        <v>73</v>
      </c>
      <c r="BQ19" t="s">
        <v>73</v>
      </c>
      <c r="BS19" t="s">
        <v>75</v>
      </c>
      <c r="BT19" t="s">
        <v>382</v>
      </c>
      <c r="BU19" t="s">
        <v>374</v>
      </c>
      <c r="BV19" t="s">
        <v>383</v>
      </c>
      <c r="BW19" s="1">
        <v>8</v>
      </c>
      <c r="BX19" s="33"/>
      <c r="BY19" s="33"/>
      <c r="BZ19" s="33"/>
      <c r="CA19" s="33"/>
      <c r="CD19"/>
      <c r="CE19"/>
      <c r="CF19"/>
      <c r="CG19"/>
      <c r="CH19"/>
      <c r="CI19"/>
      <c r="CJ19"/>
      <c r="CK19"/>
      <c r="CL19"/>
      <c r="CM19"/>
      <c r="CN19"/>
      <c r="CO19"/>
    </row>
    <row r="20" spans="1:93" ht="17" thickBot="1" x14ac:dyDescent="0.25">
      <c r="A20" s="5" t="s">
        <v>167</v>
      </c>
      <c r="B20" s="5" t="s">
        <v>172</v>
      </c>
      <c r="C20" s="89" t="s">
        <v>168</v>
      </c>
      <c r="D20" s="89" t="s">
        <v>73</v>
      </c>
      <c r="E20" s="5" t="s">
        <v>72</v>
      </c>
      <c r="F20" s="5" t="s">
        <v>72</v>
      </c>
      <c r="G20" s="5" t="s">
        <v>73</v>
      </c>
      <c r="H20" s="102" t="s">
        <v>72</v>
      </c>
      <c r="I20" s="5">
        <v>10</v>
      </c>
      <c r="J20" s="1">
        <v>3</v>
      </c>
      <c r="L20" s="1">
        <v>7</v>
      </c>
      <c r="N20" s="5"/>
      <c r="O20" s="5"/>
      <c r="P20" s="5"/>
      <c r="Q20" s="5" t="s">
        <v>73</v>
      </c>
      <c r="R20" s="5" t="s">
        <v>73</v>
      </c>
      <c r="S20" s="5" t="s">
        <v>73</v>
      </c>
      <c r="T20" s="5"/>
      <c r="U20" s="5"/>
      <c r="V20" s="5"/>
      <c r="X20" s="90"/>
      <c r="Y20" s="90"/>
      <c r="Z20" s="5" t="s">
        <v>73</v>
      </c>
      <c r="AA20" s="5" t="s">
        <v>73</v>
      </c>
      <c r="AB20" s="1">
        <v>1</v>
      </c>
      <c r="AC20" s="5">
        <v>11</v>
      </c>
      <c r="AD20"/>
      <c r="AE20" s="5"/>
      <c r="AF20" s="5">
        <v>4</v>
      </c>
      <c r="AG20" s="5">
        <v>11</v>
      </c>
      <c r="AH20" s="5"/>
      <c r="AI20"/>
      <c r="AJ20" s="1">
        <v>4</v>
      </c>
      <c r="AK20" s="5" t="s">
        <v>73</v>
      </c>
      <c r="AL20" s="5" t="s">
        <v>73</v>
      </c>
      <c r="AM20"/>
      <c r="AN20" s="5" t="s">
        <v>73</v>
      </c>
      <c r="AO20"/>
      <c r="AP20" s="5" t="s">
        <v>73</v>
      </c>
      <c r="AQ20"/>
      <c r="AR20" s="5" t="s">
        <v>73</v>
      </c>
      <c r="AT20" t="s">
        <v>73</v>
      </c>
      <c r="AW20" s="1">
        <v>105</v>
      </c>
      <c r="AX20" s="1">
        <v>26</v>
      </c>
      <c r="AY20" s="136" t="s">
        <v>73</v>
      </c>
      <c r="AZ20" s="4" t="s">
        <v>73</v>
      </c>
      <c r="BA20" s="91" t="s">
        <v>73</v>
      </c>
      <c r="BB20">
        <v>1832</v>
      </c>
      <c r="BC20" s="101">
        <v>45639.39634259259</v>
      </c>
      <c r="BD20" s="85">
        <v>45639.354675925926</v>
      </c>
      <c r="BE20" t="s">
        <v>73</v>
      </c>
      <c r="BF20" t="s">
        <v>73</v>
      </c>
      <c r="BG20" t="s">
        <v>73</v>
      </c>
      <c r="BH20" t="s">
        <v>73</v>
      </c>
      <c r="BI20" t="s">
        <v>73</v>
      </c>
      <c r="BJ20" t="s">
        <v>73</v>
      </c>
      <c r="BL20" t="s">
        <v>73</v>
      </c>
      <c r="BM20" t="s">
        <v>73</v>
      </c>
      <c r="BN20" t="s">
        <v>73</v>
      </c>
      <c r="BO20" t="s">
        <v>73</v>
      </c>
      <c r="BP20" t="s">
        <v>73</v>
      </c>
      <c r="BQ20" t="s">
        <v>73</v>
      </c>
      <c r="BS20" t="s">
        <v>169</v>
      </c>
      <c r="BT20" t="s">
        <v>384</v>
      </c>
      <c r="BU20" t="s">
        <v>385</v>
      </c>
      <c r="BV20" t="s">
        <v>386</v>
      </c>
      <c r="BW20" s="1">
        <v>16</v>
      </c>
      <c r="BX20" s="33"/>
      <c r="BY20" s="33"/>
      <c r="BZ20" s="33"/>
      <c r="CA20" s="33"/>
      <c r="CD20"/>
      <c r="CE20"/>
      <c r="CF20"/>
      <c r="CG20"/>
      <c r="CH20"/>
      <c r="CI20"/>
      <c r="CJ20"/>
      <c r="CK20"/>
      <c r="CL20"/>
      <c r="CM20"/>
      <c r="CN20"/>
      <c r="CO20"/>
    </row>
    <row r="21" spans="1:93" ht="16" thickTop="1" x14ac:dyDescent="0.2">
      <c r="A21" t="s">
        <v>79</v>
      </c>
      <c r="C21" s="125">
        <f>SUBTOTAL(103,KDM[Naam vereniging])</f>
        <v>13</v>
      </c>
      <c r="D21" s="1">
        <f>COUNTIF(KDM[Delegatie],"x")</f>
        <v>0</v>
      </c>
      <c r="E21" s="16">
        <f>COUNTIF(KDM[Muziekkorps bij mars en defilé],"x")</f>
        <v>12</v>
      </c>
      <c r="F21" s="16">
        <f>COUNTIF(KDM[Deeln. jeugdkoningschieten],"x")</f>
        <v>7</v>
      </c>
      <c r="G21" s="16">
        <f>COUNTIF(KDM[Maj. Senioren jureren bij mars],"x")</f>
        <v>4</v>
      </c>
      <c r="H21" s="16">
        <f>COUNTIF(KDM[Maj. Jeugd jureren bij mars],"x")</f>
        <v>2</v>
      </c>
      <c r="I21" s="1">
        <f>SUBTOTAL(103,KDM[Korps senioren])</f>
        <v>11</v>
      </c>
      <c r="J21" s="1">
        <f>SUBTOTAL(103,KDM[Junioren korps 1])</f>
        <v>4</v>
      </c>
      <c r="K21" s="1">
        <f>SUBTOTAL(103,KDM[Junioren korps 2])</f>
        <v>0</v>
      </c>
      <c r="L21" s="1">
        <f>SUBTOTAL(103,KDM[Aspiranten korps 1])</f>
        <v>3</v>
      </c>
      <c r="M21" s="1">
        <f>SUBTOTAL(103,KDM[Aspiranten korps 2])</f>
        <v>0</v>
      </c>
      <c r="N21" s="1">
        <f>SUBTOTAL(103,KDM[Acrobatisch senioren])</f>
        <v>1</v>
      </c>
      <c r="O21" s="1">
        <f>SUBTOTAL(103,KDM[Acrobatisch junioren])</f>
        <v>0</v>
      </c>
      <c r="P21" s="1">
        <f>SUBTOTAL(103,KDM[Acrobatisch aspiranten])</f>
        <v>0</v>
      </c>
      <c r="T21" s="79">
        <f>SUBTOTAL(109,KDM[Senioren indiv.])</f>
        <v>5</v>
      </c>
      <c r="U21" s="79">
        <f>SUBTOTAL(109,KDM[Junioren indiv.])</f>
        <v>1</v>
      </c>
      <c r="V21" s="1">
        <f>SUBTOTAL(109,KDM[Aspiranten indiv.])</f>
        <v>1</v>
      </c>
      <c r="W21" s="1">
        <f>SUBTOTAL(109,KDM[Sen. ind opgegeven namen])</f>
        <v>7</v>
      </c>
      <c r="X21" s="1">
        <f>SUBTOTAL(109,KDM[Jun. ind opgegeven namen])</f>
        <v>1</v>
      </c>
      <c r="Y21" s="1">
        <f>SUBTOTAL(109,KDM[Asp. ind opgegeven namen])</f>
        <v>1</v>
      </c>
      <c r="Z21" s="16">
        <f>COUNTIF(KDM[Hoofdkorps],"x")</f>
        <v>0</v>
      </c>
      <c r="AA21" s="117">
        <f>COUNTIF(KDM[2e korps],"x")</f>
        <v>0</v>
      </c>
      <c r="AB21" s="1">
        <f>SUBTOTAL(109,KDM[Groepen, teams, ensembles en duo''s])</f>
        <v>28</v>
      </c>
      <c r="AC21" s="1">
        <f>SUBTOTAL(109,KDM[Senioren])</f>
        <v>51</v>
      </c>
      <c r="AD21" s="1">
        <f>SUBTOTAL(109,KDM[Jong volwassene])</f>
        <v>5</v>
      </c>
      <c r="AE21" s="1">
        <f>SUBTOTAL(109,KDM[Junioren])</f>
        <v>3</v>
      </c>
      <c r="AF21" s="1">
        <f>SUBTOTAL(109,KDM[Aspiranten])</f>
        <v>9</v>
      </c>
      <c r="AG21" s="1">
        <f>SUBTOTAL(109,KDM[Opgegeven senioren])</f>
        <v>51</v>
      </c>
      <c r="AH21" s="1">
        <f>SUBTOTAL(109,KDM[Opgegeven jong volwassene])</f>
        <v>4</v>
      </c>
      <c r="AI21" s="1">
        <f>SUBTOTAL(109,KDM[Opgegeven junioren])</f>
        <v>3</v>
      </c>
      <c r="AJ21" s="1">
        <f>SUBTOTAL(109,KDM[Opgegeven aspiranten])</f>
        <v>9</v>
      </c>
      <c r="AK21" s="1">
        <f>COUNTIF(KDM[Marketentsters],"x")</f>
        <v>0</v>
      </c>
      <c r="AL21" s="1">
        <f>COUNTIF(KDM[Luchtgeweer],"x")</f>
        <v>0</v>
      </c>
      <c r="AM21" s="1">
        <f>SUBTOTAL(109,KDM[Aantal luchtgeweerschutters])</f>
        <v>0</v>
      </c>
      <c r="AN21" s="1">
        <f>COUNTIF(KDM[Luchtpistool],"x")</f>
        <v>0</v>
      </c>
      <c r="AO21" s="1">
        <f>SUBTOTAL(109,KDM[Aantal luchtpistoolschutters])</f>
        <v>0</v>
      </c>
      <c r="AP21" s="1">
        <f>COUNTIF(KDM[Handboog],"x")</f>
        <v>0</v>
      </c>
      <c r="AQ21" s="1">
        <f>SUBTOTAL(109,KDM[Aantal handboogschutters])</f>
        <v>0</v>
      </c>
      <c r="AR21" s="1">
        <f>COUNTIF(KDM[Kruisboog],"x")</f>
        <v>0</v>
      </c>
      <c r="AS21" s="1">
        <f>SUBTOTAL(109,KDM[Aantal kruisboogschutters])</f>
        <v>0</v>
      </c>
      <c r="AT21" s="1">
        <f>COUNTIF(KDM[Luchtgeweer jeugd niet ouder dan 17 jaar.],"x")</f>
        <v>0</v>
      </c>
      <c r="AU21" s="1">
        <f>SUBTOTAL(109,KDM[Aantal korpsen])</f>
        <v>0</v>
      </c>
      <c r="AV21" s="1">
        <f>SUBTOTAL(109,KDM[Opgegeven jeugdkorpsen LG])</f>
        <v>0</v>
      </c>
      <c r="AW21" s="1">
        <f>SUBTOTAL(109,KDM[Totaal aantal deelnemers])</f>
        <v>887</v>
      </c>
      <c r="AX21" s="1">
        <f>SUBTOTAL(109,KDM[Waarvan aantal jeugd (t/m 15 jaar)])</f>
        <v>194</v>
      </c>
      <c r="AY21" s="1">
        <f>COUNTIF(KDM[Kanon etc.],"x")</f>
        <v>7</v>
      </c>
      <c r="AZ21" s="1">
        <f>COUNTIF(KDM[Paarden en/of koetsen],"x")</f>
        <v>2</v>
      </c>
      <c r="BA21" s="63"/>
      <c r="BB21" s="1"/>
      <c r="BC21" s="1"/>
      <c r="BD21" s="1"/>
      <c r="BE21" s="1"/>
      <c r="BF21" s="1"/>
      <c r="BG21" s="1"/>
      <c r="BH21" s="1"/>
      <c r="BI21" s="1"/>
      <c r="BJ21" s="1"/>
      <c r="BK21" s="1"/>
      <c r="BL21" s="1"/>
      <c r="BM21" s="1"/>
      <c r="BN21" s="1"/>
      <c r="BO21" s="1"/>
      <c r="BP21" s="1"/>
      <c r="BQ21" s="1"/>
      <c r="BR21" s="1"/>
      <c r="BS21" s="1"/>
      <c r="BT21" s="1"/>
      <c r="BU21" s="1"/>
      <c r="BV21" s="1"/>
      <c r="BW21" s="1">
        <f>SUBTOTAL(109,KDM[Aantal opgegeven majorettes])</f>
        <v>92</v>
      </c>
      <c r="BX21" s="33"/>
      <c r="BY21" s="33"/>
      <c r="BZ21" s="33"/>
      <c r="CA21" s="33"/>
      <c r="CD21"/>
      <c r="CE21"/>
      <c r="CF21"/>
      <c r="CG21"/>
      <c r="CH21"/>
      <c r="CI21"/>
      <c r="CJ21"/>
      <c r="CK21"/>
      <c r="CL21"/>
      <c r="CM21"/>
      <c r="CN21"/>
      <c r="CO21"/>
    </row>
    <row r="22" spans="1:93" x14ac:dyDescent="0.2">
      <c r="BX22" s="33"/>
      <c r="BY22" s="33"/>
      <c r="BZ22" s="33"/>
      <c r="CA22" s="33"/>
      <c r="CD22"/>
      <c r="CE22"/>
      <c r="CF22"/>
      <c r="CG22"/>
      <c r="CH22"/>
      <c r="CI22"/>
      <c r="CJ22"/>
      <c r="CK22"/>
      <c r="CL22"/>
      <c r="CM22"/>
      <c r="CN22"/>
      <c r="CO22"/>
    </row>
    <row r="23" spans="1:93" x14ac:dyDescent="0.2">
      <c r="C23" s="124"/>
      <c r="BX23" s="33"/>
      <c r="BY23" s="33"/>
      <c r="BZ23" s="33"/>
      <c r="CA23" s="33"/>
      <c r="CD23"/>
      <c r="CE23"/>
      <c r="CF23"/>
      <c r="CG23"/>
      <c r="CH23"/>
      <c r="CI23"/>
      <c r="CJ23"/>
      <c r="CK23"/>
      <c r="CL23"/>
      <c r="CM23"/>
      <c r="CN23"/>
      <c r="CO23"/>
    </row>
  </sheetData>
  <mergeCells count="15">
    <mergeCell ref="BS3:BW3"/>
    <mergeCell ref="BS4:BW4"/>
    <mergeCell ref="AW3:BD3"/>
    <mergeCell ref="A1:CC1"/>
    <mergeCell ref="A2:CC2"/>
    <mergeCell ref="D3:H3"/>
    <mergeCell ref="AL3:AV3"/>
    <mergeCell ref="N4:P4"/>
    <mergeCell ref="Q4:S4"/>
    <mergeCell ref="T4:Y4"/>
    <mergeCell ref="Z3:AA3"/>
    <mergeCell ref="I3:Y3"/>
    <mergeCell ref="BL4:BR4"/>
    <mergeCell ref="BE3:BR3"/>
    <mergeCell ref="BE4:BK4"/>
  </mergeCells>
  <phoneticPr fontId="2" type="noConversion"/>
  <conditionalFormatting sqref="W7:W20">
    <cfRule type="expression" dxfId="41" priority="6">
      <formula>$T7-$W7&lt;&gt;0</formula>
    </cfRule>
  </conditionalFormatting>
  <conditionalFormatting sqref="X7:X20">
    <cfRule type="expression" dxfId="40" priority="7">
      <formula>$U7-$X7&lt;&gt;0</formula>
    </cfRule>
  </conditionalFormatting>
  <conditionalFormatting sqref="Y7:Y20">
    <cfRule type="expression" dxfId="39" priority="19">
      <formula>$V7-$Y7&lt;&gt;0</formula>
    </cfRule>
  </conditionalFormatting>
  <conditionalFormatting sqref="AG7:AG20">
    <cfRule type="expression" dxfId="38" priority="4">
      <formula>$AC7-$AG7&lt;&gt;0</formula>
    </cfRule>
  </conditionalFormatting>
  <conditionalFormatting sqref="AH7:AH20">
    <cfRule type="expression" dxfId="37" priority="3">
      <formula>$AD7-$AH7&lt;&gt;0</formula>
    </cfRule>
  </conditionalFormatting>
  <conditionalFormatting sqref="AI7:AI20">
    <cfRule type="expression" dxfId="36" priority="2">
      <formula>$AE7-$AI7&lt;&gt;0</formula>
    </cfRule>
  </conditionalFormatting>
  <conditionalFormatting sqref="AJ7:AJ20">
    <cfRule type="expression" dxfId="35" priority="1">
      <formula>$AF7-$AJ7&lt;&gt;0</formula>
    </cfRule>
  </conditionalFormatting>
  <pageMargins left="0.7" right="0.7" top="0.75" bottom="0.75" header="0.3" footer="0.3"/>
  <pageSetup orientation="portrait" horizont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BBF9-126C-4F7E-AE91-412B5FD3E7A6}">
  <dimension ref="A1:CM27"/>
  <sheetViews>
    <sheetView zoomScale="110" zoomScaleNormal="110" workbookViewId="0">
      <pane xSplit="3" ySplit="6" topLeftCell="X26" activePane="bottomRight" state="frozen"/>
      <selection pane="topRight" activeCell="D1" sqref="D1"/>
      <selection pane="bottomLeft" activeCell="A7" sqref="A7"/>
      <selection pane="bottomRight" activeCell="A30" sqref="A30:XFD43"/>
    </sheetView>
  </sheetViews>
  <sheetFormatPr baseColWidth="10" defaultColWidth="9.1640625" defaultRowHeight="15" x14ac:dyDescent="0.2"/>
  <cols>
    <col min="1" max="1" width="10.33203125" bestFit="1" customWidth="1"/>
    <col min="2" max="2" width="8.6640625" bestFit="1" customWidth="1"/>
    <col min="3" max="3" width="58.83203125" bestFit="1" customWidth="1"/>
    <col min="4" max="4" width="3.5" style="1" bestFit="1" customWidth="1"/>
    <col min="5" max="16" width="8.5" style="1" bestFit="1" customWidth="1"/>
    <col min="17" max="19" width="7.6640625" style="1" hidden="1" customWidth="1"/>
    <col min="20" max="25" width="8.5" style="1" bestFit="1" customWidth="1"/>
    <col min="26" max="26" width="8.5" style="1" hidden="1" customWidth="1"/>
    <col min="27" max="27" width="7.6640625" style="1" hidden="1" customWidth="1"/>
    <col min="28" max="28" width="8.5" style="1" hidden="1" customWidth="1"/>
    <col min="29" max="32" width="8.5" style="1" bestFit="1" customWidth="1"/>
    <col min="33" max="36" width="3.5" style="1" bestFit="1" customWidth="1"/>
    <col min="37" max="38" width="8.5" style="1" bestFit="1" customWidth="1"/>
    <col min="39" max="39" width="3.5" style="1" bestFit="1" customWidth="1"/>
    <col min="40" max="40" width="8.5" style="1" bestFit="1" customWidth="1"/>
    <col min="41" max="41" width="3.5" style="1" bestFit="1" customWidth="1"/>
    <col min="42" max="42" width="8.5" style="1" bestFit="1" customWidth="1"/>
    <col min="43" max="43" width="3.5" style="1" bestFit="1" customWidth="1"/>
    <col min="44" max="44" width="8.5" style="61" bestFit="1" customWidth="1"/>
    <col min="45" max="45" width="3.5" bestFit="1" customWidth="1"/>
    <col min="46" max="47" width="8.5" bestFit="1" customWidth="1"/>
    <col min="48" max="48" width="3.5" bestFit="1" customWidth="1"/>
    <col min="49" max="49" width="8.5" style="63" bestFit="1" customWidth="1"/>
    <col min="50" max="52" width="8.5" style="1" bestFit="1" customWidth="1"/>
    <col min="53" max="53" width="30.1640625" bestFit="1" customWidth="1"/>
    <col min="54" max="54" width="8.5" bestFit="1" customWidth="1"/>
    <col min="55" max="56" width="15" bestFit="1" customWidth="1"/>
    <col min="57" max="63" width="8.5" hidden="1" customWidth="1"/>
    <col min="64" max="70" width="8.33203125" hidden="1" customWidth="1"/>
    <col min="71" max="75" width="8.5" hidden="1" customWidth="1"/>
    <col min="76" max="77" width="8.33203125" style="1" customWidth="1"/>
    <col min="78" max="78" width="7.6640625" style="1" bestFit="1" customWidth="1"/>
    <col min="79" max="79" width="10.1640625" style="1" bestFit="1" customWidth="1"/>
    <col min="80" max="80" width="33" style="1" bestFit="1" customWidth="1"/>
    <col min="81" max="82" width="7.6640625" style="1" bestFit="1" customWidth="1"/>
    <col min="83" max="83" width="45.83203125" style="1" bestFit="1" customWidth="1"/>
    <col min="84" max="84" width="10.1640625" style="1" bestFit="1" customWidth="1"/>
    <col min="85" max="87" width="6.83203125" style="1" bestFit="1" customWidth="1"/>
    <col min="88" max="88" width="21.33203125" style="1" bestFit="1" customWidth="1"/>
    <col min="89" max="89" width="15.83203125" style="1" bestFit="1" customWidth="1"/>
    <col min="90" max="91" width="9.33203125" bestFit="1" customWidth="1"/>
  </cols>
  <sheetData>
    <row r="1" spans="1:91" ht="27" customHeight="1" thickBot="1" x14ac:dyDescent="0.25">
      <c r="A1" s="151" t="s">
        <v>81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72"/>
      <c r="BY1" s="72"/>
      <c r="BZ1" s="72"/>
      <c r="CA1" s="72"/>
      <c r="CB1" s="72"/>
      <c r="CC1" s="72"/>
      <c r="CD1" s="72"/>
      <c r="CE1" s="72"/>
      <c r="CF1" s="72"/>
      <c r="CG1" s="72"/>
      <c r="CH1" s="72"/>
      <c r="CI1" s="72"/>
      <c r="CJ1" s="72"/>
      <c r="CK1" s="72"/>
    </row>
    <row r="2" spans="1:91" ht="20" thickBot="1" x14ac:dyDescent="0.3">
      <c r="A2" s="149" t="s">
        <v>139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73"/>
      <c r="BY2" s="73"/>
      <c r="BZ2" s="73"/>
      <c r="CA2" s="73"/>
      <c r="CB2" s="73"/>
      <c r="CC2" s="73"/>
      <c r="CD2" s="73"/>
      <c r="CE2" s="73"/>
      <c r="CF2" s="73"/>
      <c r="CG2" s="73"/>
      <c r="CH2" s="73"/>
      <c r="CI2" s="73"/>
      <c r="CJ2" s="73"/>
      <c r="CK2" s="73"/>
    </row>
    <row r="3" spans="1:91" ht="16" thickBot="1" x14ac:dyDescent="0.25">
      <c r="A3" s="20"/>
      <c r="B3" s="21"/>
      <c r="C3" s="22"/>
      <c r="D3" s="139" t="s">
        <v>1</v>
      </c>
      <c r="E3" s="140"/>
      <c r="F3" s="140"/>
      <c r="G3" s="140"/>
      <c r="H3" s="141"/>
      <c r="I3" s="142" t="s">
        <v>2</v>
      </c>
      <c r="J3" s="143"/>
      <c r="K3" s="143"/>
      <c r="L3" s="143"/>
      <c r="M3" s="143"/>
      <c r="N3" s="143"/>
      <c r="O3" s="143"/>
      <c r="P3" s="143"/>
      <c r="Q3" s="143"/>
      <c r="R3" s="143"/>
      <c r="S3" s="143"/>
      <c r="T3" s="143"/>
      <c r="U3" s="143"/>
      <c r="V3" s="143"/>
      <c r="W3" s="143"/>
      <c r="X3" s="143"/>
      <c r="Y3" s="144"/>
      <c r="Z3" s="139" t="s">
        <v>3</v>
      </c>
      <c r="AA3" s="141"/>
      <c r="AB3" s="26" t="s">
        <v>4</v>
      </c>
      <c r="AC3" s="110" t="s">
        <v>5</v>
      </c>
      <c r="AD3" s="94"/>
      <c r="AE3" s="94"/>
      <c r="AF3" s="94"/>
      <c r="AG3" s="94"/>
      <c r="AH3" s="94"/>
      <c r="AI3" s="94"/>
      <c r="AJ3" s="95"/>
      <c r="AK3" s="26" t="s">
        <v>6</v>
      </c>
      <c r="AL3" s="139" t="s">
        <v>7</v>
      </c>
      <c r="AM3" s="140"/>
      <c r="AN3" s="140"/>
      <c r="AO3" s="140"/>
      <c r="AP3" s="140"/>
      <c r="AQ3" s="140"/>
      <c r="AR3" s="140"/>
      <c r="AS3" s="140"/>
      <c r="AT3" s="140"/>
      <c r="AU3" s="140"/>
      <c r="AV3" s="141"/>
      <c r="AW3" s="139" t="s">
        <v>8</v>
      </c>
      <c r="AX3" s="140"/>
      <c r="AY3" s="140"/>
      <c r="AZ3" s="140"/>
      <c r="BA3" s="140"/>
      <c r="BB3" s="140"/>
      <c r="BC3" s="140"/>
      <c r="BD3" s="141"/>
      <c r="BE3" s="142" t="s">
        <v>9</v>
      </c>
      <c r="BF3" s="143"/>
      <c r="BG3" s="143"/>
      <c r="BH3" s="143"/>
      <c r="BI3" s="143"/>
      <c r="BJ3" s="143"/>
      <c r="BK3" s="143"/>
      <c r="BL3" s="143"/>
      <c r="BM3" s="143"/>
      <c r="BN3" s="143"/>
      <c r="BO3" s="143"/>
      <c r="BP3" s="143"/>
      <c r="BQ3" s="143"/>
      <c r="BR3" s="143"/>
      <c r="BS3" s="145" t="s">
        <v>10</v>
      </c>
      <c r="BT3" s="146"/>
      <c r="BU3" s="146"/>
      <c r="BV3" s="146"/>
      <c r="BW3" s="147"/>
      <c r="BX3" s="34"/>
      <c r="BY3" s="34"/>
      <c r="BZ3" s="34"/>
      <c r="CA3" s="34"/>
      <c r="CB3" s="34"/>
      <c r="CC3" s="34"/>
      <c r="CD3"/>
      <c r="CE3"/>
      <c r="CF3"/>
      <c r="CG3"/>
      <c r="CH3"/>
      <c r="CI3"/>
      <c r="CJ3"/>
      <c r="CK3"/>
    </row>
    <row r="4" spans="1:91" ht="16" thickBot="1" x14ac:dyDescent="0.25">
      <c r="A4" s="23"/>
      <c r="B4" s="24"/>
      <c r="C4" s="25"/>
      <c r="D4" s="23"/>
      <c r="E4" s="24"/>
      <c r="F4" s="24"/>
      <c r="G4" s="24"/>
      <c r="H4" s="25"/>
      <c r="I4" s="86" t="s">
        <v>11</v>
      </c>
      <c r="J4" s="87"/>
      <c r="K4" s="87"/>
      <c r="L4" s="87"/>
      <c r="M4" s="88"/>
      <c r="N4" s="142" t="s">
        <v>88</v>
      </c>
      <c r="O4" s="143"/>
      <c r="P4" s="144"/>
      <c r="Q4" s="142" t="s">
        <v>13</v>
      </c>
      <c r="R4" s="143"/>
      <c r="S4" s="144"/>
      <c r="T4" s="142" t="s">
        <v>14</v>
      </c>
      <c r="U4" s="143"/>
      <c r="V4" s="143"/>
      <c r="W4" s="143"/>
      <c r="X4" s="143"/>
      <c r="Y4" s="144"/>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62"/>
      <c r="BB4" s="24"/>
      <c r="BC4" s="24"/>
      <c r="BD4" s="25"/>
      <c r="BE4" s="142" t="s">
        <v>15</v>
      </c>
      <c r="BF4" s="143"/>
      <c r="BG4" s="143"/>
      <c r="BH4" s="143"/>
      <c r="BI4" s="143"/>
      <c r="BJ4" s="143"/>
      <c r="BK4" s="144"/>
      <c r="BL4" s="142" t="s">
        <v>16</v>
      </c>
      <c r="BM4" s="143"/>
      <c r="BN4" s="143"/>
      <c r="BO4" s="143"/>
      <c r="BP4" s="143"/>
      <c r="BQ4" s="143"/>
      <c r="BR4" s="144"/>
      <c r="BS4" s="119"/>
      <c r="BT4" s="97"/>
      <c r="BU4" s="97"/>
      <c r="BV4" s="97"/>
      <c r="BW4" s="98"/>
      <c r="BX4" s="80"/>
      <c r="BY4" s="80"/>
      <c r="BZ4" s="34"/>
      <c r="CA4" s="34"/>
      <c r="CB4" s="34"/>
      <c r="CC4" s="34"/>
      <c r="CD4" s="34"/>
      <c r="CE4" s="34"/>
      <c r="CF4"/>
      <c r="CG4"/>
      <c r="CH4"/>
      <c r="CI4"/>
      <c r="CJ4"/>
      <c r="CK4"/>
    </row>
    <row r="5" spans="1:91" ht="6.75" hidden="1" customHeight="1" thickBot="1" x14ac:dyDescent="0.25">
      <c r="AR5" s="63"/>
      <c r="AS5" s="1"/>
      <c r="AT5" s="1"/>
      <c r="AU5" s="1"/>
      <c r="AV5" s="1"/>
      <c r="BA5" s="1"/>
      <c r="BB5" s="1"/>
      <c r="BC5" s="1"/>
      <c r="BD5" s="1"/>
      <c r="BE5" s="1"/>
      <c r="BF5" s="1"/>
      <c r="BG5" s="1"/>
      <c r="BH5" s="1"/>
      <c r="BI5" s="1"/>
      <c r="BJ5" s="1"/>
      <c r="BK5" s="1"/>
      <c r="BL5" s="1"/>
      <c r="BM5" s="1"/>
      <c r="BN5" s="1"/>
      <c r="BO5" s="1"/>
      <c r="BP5" s="1"/>
      <c r="BQ5" s="1"/>
      <c r="BR5" s="1"/>
      <c r="BS5" s="1"/>
      <c r="BT5" s="1"/>
      <c r="BU5" s="1"/>
      <c r="BV5" s="1"/>
      <c r="BW5" s="1"/>
      <c r="CL5" s="1"/>
      <c r="CM5" s="1"/>
    </row>
    <row r="6" spans="1:91" s="2" customFormat="1" ht="213"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2" t="s">
        <v>112</v>
      </c>
      <c r="AH6" s="92" t="s">
        <v>113</v>
      </c>
      <c r="AI6" s="92" t="s">
        <v>114</v>
      </c>
      <c r="AJ6" s="99" t="s">
        <v>115</v>
      </c>
      <c r="AK6" s="14" t="s">
        <v>41</v>
      </c>
      <c r="AL6" s="9" t="s">
        <v>42</v>
      </c>
      <c r="AM6" s="92" t="s">
        <v>122</v>
      </c>
      <c r="AN6" s="10" t="s">
        <v>43</v>
      </c>
      <c r="AO6" s="92" t="s">
        <v>123</v>
      </c>
      <c r="AP6" s="10" t="s">
        <v>45</v>
      </c>
      <c r="AQ6" s="92" t="s">
        <v>124</v>
      </c>
      <c r="AR6" s="10" t="s">
        <v>44</v>
      </c>
      <c r="AS6" s="92" t="s">
        <v>125</v>
      </c>
      <c r="AT6" s="10" t="s">
        <v>116</v>
      </c>
      <c r="AU6" s="10" t="s">
        <v>117</v>
      </c>
      <c r="AV6" s="92" t="s">
        <v>118</v>
      </c>
      <c r="AW6" s="9" t="s">
        <v>46</v>
      </c>
      <c r="AX6" s="10" t="s">
        <v>47</v>
      </c>
      <c r="AY6" s="10" t="s">
        <v>48</v>
      </c>
      <c r="AZ6" s="10" t="s">
        <v>49</v>
      </c>
      <c r="BA6" s="96"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row>
    <row r="7" spans="1:91" ht="64" x14ac:dyDescent="0.2">
      <c r="A7" t="s">
        <v>134</v>
      </c>
      <c r="B7" t="s">
        <v>205</v>
      </c>
      <c r="C7" t="s">
        <v>206</v>
      </c>
      <c r="D7" s="1" t="s">
        <v>73</v>
      </c>
      <c r="E7" s="1" t="s">
        <v>72</v>
      </c>
      <c r="F7" s="1" t="s">
        <v>73</v>
      </c>
      <c r="G7" s="1" t="s">
        <v>73</v>
      </c>
      <c r="I7" s="1">
        <v>6</v>
      </c>
      <c r="J7">
        <v>6</v>
      </c>
      <c r="K7"/>
      <c r="L7">
        <v>4</v>
      </c>
      <c r="M7"/>
      <c r="Q7" s="1" t="s">
        <v>73</v>
      </c>
      <c r="R7" s="1" t="s">
        <v>73</v>
      </c>
      <c r="S7" s="1" t="s">
        <v>73</v>
      </c>
      <c r="T7"/>
      <c r="U7"/>
      <c r="V7"/>
      <c r="W7"/>
      <c r="X7"/>
      <c r="Y7"/>
      <c r="Z7" s="1" t="s">
        <v>73</v>
      </c>
      <c r="AA7" s="1" t="s">
        <v>73</v>
      </c>
      <c r="AB7"/>
      <c r="AD7"/>
      <c r="AE7"/>
      <c r="AF7"/>
      <c r="AG7"/>
      <c r="AH7"/>
      <c r="AI7"/>
      <c r="AJ7"/>
      <c r="AK7" s="1" t="s">
        <v>73</v>
      </c>
      <c r="AL7" s="1" t="s">
        <v>73</v>
      </c>
      <c r="AM7"/>
      <c r="AN7" s="1" t="s">
        <v>73</v>
      </c>
      <c r="AO7"/>
      <c r="AP7" s="1" t="s">
        <v>73</v>
      </c>
      <c r="AQ7"/>
      <c r="AR7" s="1" t="s">
        <v>73</v>
      </c>
      <c r="AT7" t="s">
        <v>73</v>
      </c>
      <c r="AW7" s="1">
        <v>100</v>
      </c>
      <c r="AX7" s="1">
        <v>8</v>
      </c>
      <c r="AY7" s="1" t="s">
        <v>72</v>
      </c>
      <c r="AZ7" s="1" t="s">
        <v>72</v>
      </c>
      <c r="BA7" s="61" t="s">
        <v>403</v>
      </c>
      <c r="BB7">
        <v>1987</v>
      </c>
      <c r="BC7" s="85">
        <v>45657.924108796295</v>
      </c>
      <c r="BD7" s="85">
        <v>45658.749490740738</v>
      </c>
      <c r="BE7" t="s">
        <v>73</v>
      </c>
      <c r="BF7" t="s">
        <v>73</v>
      </c>
      <c r="BG7" t="s">
        <v>73</v>
      </c>
      <c r="BH7" t="s">
        <v>73</v>
      </c>
      <c r="BI7" t="s">
        <v>73</v>
      </c>
      <c r="BJ7" t="s">
        <v>73</v>
      </c>
      <c r="BL7" t="s">
        <v>73</v>
      </c>
      <c r="BM7" t="s">
        <v>73</v>
      </c>
      <c r="BN7" t="s">
        <v>73</v>
      </c>
      <c r="BO7" t="s">
        <v>73</v>
      </c>
      <c r="BP7" t="s">
        <v>73</v>
      </c>
      <c r="BQ7" s="1" t="s">
        <v>73</v>
      </c>
      <c r="BS7" s="1" t="s">
        <v>73</v>
      </c>
      <c r="BT7" s="1" t="s">
        <v>369</v>
      </c>
      <c r="BU7" s="1" t="s">
        <v>369</v>
      </c>
      <c r="BV7" s="1" t="s">
        <v>369</v>
      </c>
      <c r="BX7"/>
      <c r="BY7"/>
      <c r="BZ7"/>
      <c r="CA7"/>
      <c r="CB7"/>
      <c r="CC7"/>
      <c r="CD7"/>
      <c r="CE7"/>
      <c r="CF7"/>
      <c r="CG7"/>
      <c r="CH7"/>
      <c r="CI7"/>
      <c r="CJ7"/>
      <c r="CK7"/>
    </row>
    <row r="8" spans="1:91" ht="16" x14ac:dyDescent="0.2">
      <c r="A8" t="s">
        <v>134</v>
      </c>
      <c r="B8" t="s">
        <v>343</v>
      </c>
      <c r="C8" t="s">
        <v>344</v>
      </c>
      <c r="D8" s="1" t="s">
        <v>73</v>
      </c>
      <c r="E8" s="1" t="s">
        <v>72</v>
      </c>
      <c r="F8" s="1" t="s">
        <v>72</v>
      </c>
      <c r="G8" s="1" t="s">
        <v>73</v>
      </c>
      <c r="I8" s="1">
        <v>8</v>
      </c>
      <c r="J8">
        <v>5</v>
      </c>
      <c r="K8"/>
      <c r="L8"/>
      <c r="M8"/>
      <c r="Q8" s="1" t="s">
        <v>73</v>
      </c>
      <c r="R8" s="1" t="s">
        <v>73</v>
      </c>
      <c r="S8" s="1" t="s">
        <v>73</v>
      </c>
      <c r="T8"/>
      <c r="U8"/>
      <c r="V8"/>
      <c r="W8"/>
      <c r="X8"/>
      <c r="Y8"/>
      <c r="Z8" s="1" t="s">
        <v>73</v>
      </c>
      <c r="AA8" s="1" t="s">
        <v>73</v>
      </c>
      <c r="AB8"/>
      <c r="AC8" s="1">
        <v>2</v>
      </c>
      <c r="AD8"/>
      <c r="AE8"/>
      <c r="AF8"/>
      <c r="AG8">
        <v>2</v>
      </c>
      <c r="AH8"/>
      <c r="AI8"/>
      <c r="AJ8"/>
      <c r="AK8" s="1" t="s">
        <v>73</v>
      </c>
      <c r="AL8" s="1" t="s">
        <v>72</v>
      </c>
      <c r="AM8">
        <v>6</v>
      </c>
      <c r="AN8" s="1" t="s">
        <v>73</v>
      </c>
      <c r="AO8"/>
      <c r="AP8" s="1" t="s">
        <v>73</v>
      </c>
      <c r="AQ8"/>
      <c r="AR8" s="1" t="s">
        <v>73</v>
      </c>
      <c r="AT8" t="s">
        <v>73</v>
      </c>
      <c r="AW8" s="1">
        <v>25</v>
      </c>
      <c r="AX8" s="1">
        <v>8</v>
      </c>
      <c r="AY8" s="1" t="s">
        <v>73</v>
      </c>
      <c r="AZ8" s="1" t="s">
        <v>73</v>
      </c>
      <c r="BA8" s="61" t="s">
        <v>73</v>
      </c>
      <c r="BB8">
        <v>1977</v>
      </c>
      <c r="BC8" s="85">
        <v>45656.750740740739</v>
      </c>
      <c r="BD8" s="85">
        <v>45656.709074074075</v>
      </c>
      <c r="BE8" t="s">
        <v>73</v>
      </c>
      <c r="BF8" t="s">
        <v>73</v>
      </c>
      <c r="BG8" t="s">
        <v>73</v>
      </c>
      <c r="BH8" t="s">
        <v>73</v>
      </c>
      <c r="BI8" t="s">
        <v>73</v>
      </c>
      <c r="BJ8" t="s">
        <v>73</v>
      </c>
      <c r="BL8" t="s">
        <v>73</v>
      </c>
      <c r="BM8" t="s">
        <v>73</v>
      </c>
      <c r="BN8" t="s">
        <v>73</v>
      </c>
      <c r="BO8" t="s">
        <v>73</v>
      </c>
      <c r="BP8" t="s">
        <v>73</v>
      </c>
      <c r="BQ8" s="1" t="s">
        <v>73</v>
      </c>
      <c r="BS8" s="1" t="s">
        <v>73</v>
      </c>
      <c r="BT8" s="1" t="s">
        <v>369</v>
      </c>
      <c r="BU8" s="1" t="s">
        <v>369</v>
      </c>
      <c r="BV8" s="1" t="s">
        <v>369</v>
      </c>
      <c r="BX8"/>
      <c r="BY8"/>
      <c r="BZ8"/>
      <c r="CA8"/>
      <c r="CB8"/>
      <c r="CC8"/>
      <c r="CD8"/>
      <c r="CE8"/>
      <c r="CF8"/>
      <c r="CG8"/>
      <c r="CH8"/>
      <c r="CI8"/>
      <c r="CJ8"/>
      <c r="CK8"/>
    </row>
    <row r="9" spans="1:91" ht="16" x14ac:dyDescent="0.2">
      <c r="A9" t="s">
        <v>134</v>
      </c>
      <c r="B9" t="s">
        <v>345</v>
      </c>
      <c r="C9" t="s">
        <v>346</v>
      </c>
      <c r="D9" s="1" t="s">
        <v>73</v>
      </c>
      <c r="E9" s="1" t="s">
        <v>72</v>
      </c>
      <c r="F9" s="1" t="s">
        <v>73</v>
      </c>
      <c r="G9" s="1" t="s">
        <v>73</v>
      </c>
      <c r="I9" s="1">
        <v>10</v>
      </c>
      <c r="J9"/>
      <c r="K9"/>
      <c r="L9">
        <v>4</v>
      </c>
      <c r="M9"/>
      <c r="Q9" s="1" t="s">
        <v>73</v>
      </c>
      <c r="R9" s="1" t="s">
        <v>73</v>
      </c>
      <c r="S9" s="1" t="s">
        <v>73</v>
      </c>
      <c r="T9">
        <v>1</v>
      </c>
      <c r="U9"/>
      <c r="V9"/>
      <c r="W9">
        <v>1</v>
      </c>
      <c r="X9"/>
      <c r="Y9"/>
      <c r="Z9" s="1" t="s">
        <v>73</v>
      </c>
      <c r="AA9" s="1" t="s">
        <v>73</v>
      </c>
      <c r="AB9"/>
      <c r="AC9" s="1">
        <v>4</v>
      </c>
      <c r="AD9"/>
      <c r="AE9"/>
      <c r="AF9"/>
      <c r="AG9">
        <v>4</v>
      </c>
      <c r="AH9"/>
      <c r="AI9"/>
      <c r="AJ9"/>
      <c r="AK9" s="1" t="s">
        <v>72</v>
      </c>
      <c r="AL9" s="1" t="s">
        <v>72</v>
      </c>
      <c r="AM9">
        <v>6</v>
      </c>
      <c r="AN9" s="1" t="s">
        <v>72</v>
      </c>
      <c r="AO9">
        <v>6</v>
      </c>
      <c r="AP9" s="1" t="s">
        <v>73</v>
      </c>
      <c r="AQ9"/>
      <c r="AR9" s="1" t="s">
        <v>72</v>
      </c>
      <c r="AS9">
        <v>6</v>
      </c>
      <c r="AT9" t="s">
        <v>72</v>
      </c>
      <c r="AU9">
        <v>1</v>
      </c>
      <c r="AV9">
        <v>1</v>
      </c>
      <c r="AW9" s="1">
        <v>65</v>
      </c>
      <c r="AX9" s="1">
        <v>12</v>
      </c>
      <c r="AY9" s="1" t="s">
        <v>72</v>
      </c>
      <c r="AZ9" s="1" t="s">
        <v>73</v>
      </c>
      <c r="BA9" s="61" t="s">
        <v>73</v>
      </c>
      <c r="BB9">
        <v>1973</v>
      </c>
      <c r="BC9" s="85">
        <v>45656.482511574075</v>
      </c>
      <c r="BD9" s="85">
        <v>45656.440844907411</v>
      </c>
      <c r="BE9" t="s">
        <v>73</v>
      </c>
      <c r="BF9" t="s">
        <v>73</v>
      </c>
      <c r="BG9" t="s">
        <v>73</v>
      </c>
      <c r="BH9" t="s">
        <v>73</v>
      </c>
      <c r="BI9" t="s">
        <v>73</v>
      </c>
      <c r="BJ9" t="s">
        <v>73</v>
      </c>
      <c r="BL9" t="s">
        <v>73</v>
      </c>
      <c r="BM9" t="s">
        <v>73</v>
      </c>
      <c r="BN9" t="s">
        <v>73</v>
      </c>
      <c r="BO9" t="s">
        <v>73</v>
      </c>
      <c r="BP9" t="s">
        <v>73</v>
      </c>
      <c r="BQ9" s="1" t="s">
        <v>73</v>
      </c>
      <c r="BS9" s="1" t="s">
        <v>73</v>
      </c>
      <c r="BT9" s="1" t="s">
        <v>369</v>
      </c>
      <c r="BU9" s="1" t="s">
        <v>369</v>
      </c>
      <c r="BV9" s="1" t="s">
        <v>369</v>
      </c>
      <c r="BX9"/>
      <c r="BY9"/>
      <c r="BZ9"/>
      <c r="CA9"/>
      <c r="CB9"/>
      <c r="CC9"/>
      <c r="CD9"/>
      <c r="CE9"/>
      <c r="CF9"/>
      <c r="CG9"/>
      <c r="CH9"/>
      <c r="CI9"/>
      <c r="CJ9"/>
      <c r="CK9"/>
    </row>
    <row r="10" spans="1:91" ht="16" x14ac:dyDescent="0.2">
      <c r="A10" t="s">
        <v>134</v>
      </c>
      <c r="B10" t="s">
        <v>316</v>
      </c>
      <c r="C10" t="s">
        <v>317</v>
      </c>
      <c r="D10" s="1" t="s">
        <v>73</v>
      </c>
      <c r="E10" s="1" t="s">
        <v>72</v>
      </c>
      <c r="F10" s="1" t="s">
        <v>73</v>
      </c>
      <c r="G10" s="1" t="s">
        <v>73</v>
      </c>
      <c r="J10"/>
      <c r="K10"/>
      <c r="L10">
        <v>3</v>
      </c>
      <c r="M10"/>
      <c r="Q10" s="1" t="s">
        <v>73</v>
      </c>
      <c r="R10" s="1" t="s">
        <v>73</v>
      </c>
      <c r="S10" s="1" t="s">
        <v>73</v>
      </c>
      <c r="T10"/>
      <c r="U10"/>
      <c r="V10"/>
      <c r="W10"/>
      <c r="X10"/>
      <c r="Y10"/>
      <c r="Z10" s="1" t="s">
        <v>73</v>
      </c>
      <c r="AA10" s="1" t="s">
        <v>73</v>
      </c>
      <c r="AB10"/>
      <c r="AD10"/>
      <c r="AE10"/>
      <c r="AF10"/>
      <c r="AG10"/>
      <c r="AH10"/>
      <c r="AI10"/>
      <c r="AJ10"/>
      <c r="AK10" s="1" t="s">
        <v>73</v>
      </c>
      <c r="AL10" s="1" t="s">
        <v>72</v>
      </c>
      <c r="AM10">
        <v>5</v>
      </c>
      <c r="AN10" s="1" t="s">
        <v>72</v>
      </c>
      <c r="AO10">
        <v>5</v>
      </c>
      <c r="AP10" s="1" t="s">
        <v>73</v>
      </c>
      <c r="AQ10"/>
      <c r="AR10" s="1" t="s">
        <v>72</v>
      </c>
      <c r="AS10">
        <v>5</v>
      </c>
      <c r="AT10" t="s">
        <v>73</v>
      </c>
      <c r="AW10" s="1">
        <v>44</v>
      </c>
      <c r="AX10" s="1">
        <v>5</v>
      </c>
      <c r="AY10" s="1" t="s">
        <v>73</v>
      </c>
      <c r="AZ10" s="1" t="s">
        <v>73</v>
      </c>
      <c r="BA10" s="61" t="s">
        <v>73</v>
      </c>
      <c r="BB10">
        <v>1958</v>
      </c>
      <c r="BC10" s="85">
        <v>45653.897569444445</v>
      </c>
      <c r="BD10" s="85">
        <v>45653.855902777781</v>
      </c>
      <c r="BE10" t="s">
        <v>73</v>
      </c>
      <c r="BF10" t="s">
        <v>73</v>
      </c>
      <c r="BG10" t="s">
        <v>73</v>
      </c>
      <c r="BH10" t="s">
        <v>73</v>
      </c>
      <c r="BI10" t="s">
        <v>73</v>
      </c>
      <c r="BJ10" t="s">
        <v>73</v>
      </c>
      <c r="BL10" t="s">
        <v>73</v>
      </c>
      <c r="BM10" t="s">
        <v>73</v>
      </c>
      <c r="BN10" t="s">
        <v>73</v>
      </c>
      <c r="BO10" t="s">
        <v>73</v>
      </c>
      <c r="BP10" t="s">
        <v>73</v>
      </c>
      <c r="BQ10" s="1" t="s">
        <v>73</v>
      </c>
      <c r="BS10" s="1" t="s">
        <v>73</v>
      </c>
      <c r="BT10" s="1" t="s">
        <v>369</v>
      </c>
      <c r="BU10" s="1" t="s">
        <v>369</v>
      </c>
      <c r="BV10" s="1" t="s">
        <v>369</v>
      </c>
      <c r="BX10"/>
      <c r="BY10"/>
      <c r="BZ10"/>
      <c r="CA10"/>
      <c r="CB10"/>
      <c r="CC10"/>
      <c r="CD10"/>
      <c r="CE10"/>
      <c r="CF10"/>
      <c r="CG10"/>
      <c r="CH10"/>
      <c r="CI10"/>
      <c r="CJ10"/>
      <c r="CK10"/>
    </row>
    <row r="11" spans="1:91" ht="16" x14ac:dyDescent="0.2">
      <c r="A11" t="s">
        <v>134</v>
      </c>
      <c r="B11" t="s">
        <v>318</v>
      </c>
      <c r="C11" t="s">
        <v>319</v>
      </c>
      <c r="D11" s="1" t="s">
        <v>73</v>
      </c>
      <c r="E11" s="1" t="s">
        <v>72</v>
      </c>
      <c r="F11" s="1" t="s">
        <v>72</v>
      </c>
      <c r="G11" s="1" t="s">
        <v>73</v>
      </c>
      <c r="I11" s="1">
        <v>14</v>
      </c>
      <c r="J11">
        <v>8</v>
      </c>
      <c r="K11"/>
      <c r="L11">
        <v>4</v>
      </c>
      <c r="M11"/>
      <c r="N11" s="1">
        <v>13</v>
      </c>
      <c r="O11" s="1">
        <v>6</v>
      </c>
      <c r="Q11" s="1" t="s">
        <v>73</v>
      </c>
      <c r="R11" s="1" t="s">
        <v>73</v>
      </c>
      <c r="S11" s="1" t="s">
        <v>73</v>
      </c>
      <c r="T11">
        <v>1</v>
      </c>
      <c r="U11">
        <v>2</v>
      </c>
      <c r="V11">
        <v>1</v>
      </c>
      <c r="W11">
        <v>1</v>
      </c>
      <c r="X11">
        <v>2</v>
      </c>
      <c r="Y11">
        <v>1</v>
      </c>
      <c r="Z11" s="1" t="s">
        <v>73</v>
      </c>
      <c r="AA11" s="1" t="s">
        <v>73</v>
      </c>
      <c r="AB11"/>
      <c r="AC11" s="1">
        <v>3</v>
      </c>
      <c r="AD11"/>
      <c r="AE11"/>
      <c r="AF11"/>
      <c r="AG11">
        <v>3</v>
      </c>
      <c r="AH11"/>
      <c r="AI11"/>
      <c r="AJ11"/>
      <c r="AK11" s="1" t="s">
        <v>72</v>
      </c>
      <c r="AL11" s="1" t="s">
        <v>72</v>
      </c>
      <c r="AM11">
        <v>6</v>
      </c>
      <c r="AN11" s="1" t="s">
        <v>72</v>
      </c>
      <c r="AO11">
        <v>6</v>
      </c>
      <c r="AP11" s="1" t="s">
        <v>73</v>
      </c>
      <c r="AQ11"/>
      <c r="AR11" s="1" t="s">
        <v>73</v>
      </c>
      <c r="AT11" t="s">
        <v>72</v>
      </c>
      <c r="AU11">
        <v>2</v>
      </c>
      <c r="AW11" s="1">
        <v>125</v>
      </c>
      <c r="AX11" s="1">
        <v>22</v>
      </c>
      <c r="AY11" s="1" t="s">
        <v>72</v>
      </c>
      <c r="AZ11" s="1" t="s">
        <v>72</v>
      </c>
      <c r="BA11" s="61" t="s">
        <v>73</v>
      </c>
      <c r="BB11">
        <v>1955</v>
      </c>
      <c r="BC11" s="85">
        <v>45653.878842592596</v>
      </c>
      <c r="BD11" s="85">
        <v>45653.837175925924</v>
      </c>
      <c r="BE11" t="s">
        <v>73</v>
      </c>
      <c r="BF11" t="s">
        <v>73</v>
      </c>
      <c r="BG11" t="s">
        <v>73</v>
      </c>
      <c r="BH11" t="s">
        <v>73</v>
      </c>
      <c r="BI11" t="s">
        <v>73</v>
      </c>
      <c r="BJ11" t="s">
        <v>73</v>
      </c>
      <c r="BL11" t="s">
        <v>73</v>
      </c>
      <c r="BM11" t="s">
        <v>73</v>
      </c>
      <c r="BN11" t="s">
        <v>73</v>
      </c>
      <c r="BO11" t="s">
        <v>73</v>
      </c>
      <c r="BP11" t="s">
        <v>73</v>
      </c>
      <c r="BQ11" s="1" t="s">
        <v>73</v>
      </c>
      <c r="BS11" s="1" t="s">
        <v>73</v>
      </c>
      <c r="BT11" s="1" t="s">
        <v>369</v>
      </c>
      <c r="BU11" s="1" t="s">
        <v>369</v>
      </c>
      <c r="BV11" s="1" t="s">
        <v>369</v>
      </c>
      <c r="BX11"/>
      <c r="BY11"/>
      <c r="BZ11"/>
      <c r="CA11"/>
      <c r="CB11"/>
      <c r="CC11"/>
      <c r="CD11"/>
      <c r="CE11"/>
      <c r="CF11"/>
      <c r="CG11"/>
      <c r="CH11"/>
      <c r="CI11"/>
      <c r="CJ11"/>
      <c r="CK11"/>
    </row>
    <row r="12" spans="1:91" ht="16" x14ac:dyDescent="0.2">
      <c r="A12" t="s">
        <v>134</v>
      </c>
      <c r="B12" t="s">
        <v>314</v>
      </c>
      <c r="C12" t="s">
        <v>315</v>
      </c>
      <c r="D12" s="1" t="s">
        <v>73</v>
      </c>
      <c r="E12" s="1" t="s">
        <v>72</v>
      </c>
      <c r="F12" s="1" t="s">
        <v>72</v>
      </c>
      <c r="G12" s="1" t="s">
        <v>73</v>
      </c>
      <c r="I12" s="1">
        <v>10</v>
      </c>
      <c r="J12">
        <v>6</v>
      </c>
      <c r="K12"/>
      <c r="L12">
        <v>6</v>
      </c>
      <c r="M12">
        <v>6</v>
      </c>
      <c r="Q12" s="1" t="s">
        <v>73</v>
      </c>
      <c r="R12" s="1" t="s">
        <v>73</v>
      </c>
      <c r="S12" s="1" t="s">
        <v>73</v>
      </c>
      <c r="T12"/>
      <c r="U12"/>
      <c r="V12"/>
      <c r="W12"/>
      <c r="X12"/>
      <c r="Y12"/>
      <c r="Z12" s="1" t="s">
        <v>73</v>
      </c>
      <c r="AA12" s="1" t="s">
        <v>73</v>
      </c>
      <c r="AB12"/>
      <c r="AC12" s="1">
        <v>4</v>
      </c>
      <c r="AD12"/>
      <c r="AE12"/>
      <c r="AF12"/>
      <c r="AG12">
        <v>4</v>
      </c>
      <c r="AH12"/>
      <c r="AI12"/>
      <c r="AJ12"/>
      <c r="AK12" s="1" t="s">
        <v>73</v>
      </c>
      <c r="AL12" s="1" t="s">
        <v>73</v>
      </c>
      <c r="AM12"/>
      <c r="AN12" s="1" t="s">
        <v>73</v>
      </c>
      <c r="AO12"/>
      <c r="AP12" s="1" t="s">
        <v>73</v>
      </c>
      <c r="AQ12"/>
      <c r="AR12" s="1" t="s">
        <v>73</v>
      </c>
      <c r="AT12" t="s">
        <v>73</v>
      </c>
      <c r="AW12" s="1">
        <v>130</v>
      </c>
      <c r="AX12" s="1">
        <v>20</v>
      </c>
      <c r="AY12" s="1" t="s">
        <v>73</v>
      </c>
      <c r="AZ12" s="1" t="s">
        <v>73</v>
      </c>
      <c r="BA12" s="61" t="s">
        <v>73</v>
      </c>
      <c r="BB12">
        <v>1951</v>
      </c>
      <c r="BC12" s="85">
        <v>45653.861597222225</v>
      </c>
      <c r="BD12" s="85">
        <v>45653.819930555554</v>
      </c>
      <c r="BE12" t="s">
        <v>73</v>
      </c>
      <c r="BF12" t="s">
        <v>73</v>
      </c>
      <c r="BG12" t="s">
        <v>73</v>
      </c>
      <c r="BH12" t="s">
        <v>73</v>
      </c>
      <c r="BI12" t="s">
        <v>73</v>
      </c>
      <c r="BJ12" t="s">
        <v>73</v>
      </c>
      <c r="BL12" t="s">
        <v>73</v>
      </c>
      <c r="BM12" t="s">
        <v>73</v>
      </c>
      <c r="BN12" t="s">
        <v>73</v>
      </c>
      <c r="BO12" t="s">
        <v>73</v>
      </c>
      <c r="BP12" t="s">
        <v>73</v>
      </c>
      <c r="BQ12" s="1" t="s">
        <v>73</v>
      </c>
      <c r="BS12" s="1" t="s">
        <v>73</v>
      </c>
      <c r="BT12" s="1" t="s">
        <v>369</v>
      </c>
      <c r="BU12" s="1" t="s">
        <v>369</v>
      </c>
      <c r="BV12" s="1" t="s">
        <v>369</v>
      </c>
      <c r="BX12"/>
      <c r="BY12"/>
      <c r="BZ12"/>
      <c r="CA12"/>
      <c r="CB12"/>
      <c r="CC12"/>
      <c r="CD12"/>
      <c r="CE12"/>
      <c r="CF12"/>
      <c r="CG12"/>
      <c r="CH12"/>
      <c r="CI12"/>
      <c r="CJ12"/>
      <c r="CK12"/>
    </row>
    <row r="13" spans="1:91" ht="16" x14ac:dyDescent="0.2">
      <c r="A13" t="s">
        <v>134</v>
      </c>
      <c r="B13" t="s">
        <v>309</v>
      </c>
      <c r="C13" t="s">
        <v>310</v>
      </c>
      <c r="D13" s="1" t="s">
        <v>73</v>
      </c>
      <c r="E13" s="1" t="s">
        <v>72</v>
      </c>
      <c r="F13" s="1" t="s">
        <v>72</v>
      </c>
      <c r="G13" s="1" t="s">
        <v>73</v>
      </c>
      <c r="I13" s="1">
        <v>14</v>
      </c>
      <c r="J13">
        <v>3</v>
      </c>
      <c r="K13"/>
      <c r="L13"/>
      <c r="M13"/>
      <c r="N13" s="1">
        <v>14</v>
      </c>
      <c r="O13" s="1">
        <v>3</v>
      </c>
      <c r="Q13" s="1" t="s">
        <v>73</v>
      </c>
      <c r="R13" s="1" t="s">
        <v>73</v>
      </c>
      <c r="S13" s="1" t="s">
        <v>73</v>
      </c>
      <c r="T13">
        <v>3</v>
      </c>
      <c r="U13">
        <v>2</v>
      </c>
      <c r="V13">
        <v>1</v>
      </c>
      <c r="W13">
        <v>2</v>
      </c>
      <c r="X13">
        <v>2</v>
      </c>
      <c r="Y13">
        <v>1</v>
      </c>
      <c r="Z13" s="1" t="s">
        <v>73</v>
      </c>
      <c r="AA13" s="1" t="s">
        <v>73</v>
      </c>
      <c r="AB13"/>
      <c r="AC13" s="1">
        <v>2</v>
      </c>
      <c r="AD13">
        <v>1</v>
      </c>
      <c r="AE13">
        <v>1</v>
      </c>
      <c r="AF13"/>
      <c r="AG13">
        <v>2</v>
      </c>
      <c r="AH13">
        <v>1</v>
      </c>
      <c r="AI13">
        <v>1</v>
      </c>
      <c r="AJ13"/>
      <c r="AK13" s="1" t="s">
        <v>73</v>
      </c>
      <c r="AL13" s="1" t="s">
        <v>72</v>
      </c>
      <c r="AM13">
        <v>4</v>
      </c>
      <c r="AN13" s="1" t="s">
        <v>72</v>
      </c>
      <c r="AO13">
        <v>4</v>
      </c>
      <c r="AP13" s="1" t="s">
        <v>73</v>
      </c>
      <c r="AQ13"/>
      <c r="AR13" s="1" t="s">
        <v>72</v>
      </c>
      <c r="AS13">
        <v>4</v>
      </c>
      <c r="AT13" t="s">
        <v>72</v>
      </c>
      <c r="AU13">
        <v>2</v>
      </c>
      <c r="AW13" s="1">
        <v>50</v>
      </c>
      <c r="AX13" s="1">
        <v>5</v>
      </c>
      <c r="AY13" s="1" t="s">
        <v>72</v>
      </c>
      <c r="AZ13" s="1" t="s">
        <v>73</v>
      </c>
      <c r="BA13" s="61" t="s">
        <v>73</v>
      </c>
      <c r="BB13">
        <v>1946</v>
      </c>
      <c r="BC13" s="85">
        <v>45653.780787037038</v>
      </c>
      <c r="BD13" s="85">
        <v>45653.739120370374</v>
      </c>
      <c r="BE13" t="s">
        <v>73</v>
      </c>
      <c r="BF13" t="s">
        <v>73</v>
      </c>
      <c r="BG13" t="s">
        <v>73</v>
      </c>
      <c r="BH13" t="s">
        <v>73</v>
      </c>
      <c r="BI13" t="s">
        <v>73</v>
      </c>
      <c r="BJ13" t="s">
        <v>73</v>
      </c>
      <c r="BL13" t="s">
        <v>73</v>
      </c>
      <c r="BM13" t="s">
        <v>73</v>
      </c>
      <c r="BN13" t="s">
        <v>73</v>
      </c>
      <c r="BO13" t="s">
        <v>73</v>
      </c>
      <c r="BP13" t="s">
        <v>73</v>
      </c>
      <c r="BQ13" s="1" t="s">
        <v>73</v>
      </c>
      <c r="BS13" s="1" t="s">
        <v>73</v>
      </c>
      <c r="BT13" s="1" t="s">
        <v>369</v>
      </c>
      <c r="BU13" s="1" t="s">
        <v>369</v>
      </c>
      <c r="BV13" s="1" t="s">
        <v>369</v>
      </c>
      <c r="BX13"/>
      <c r="BY13"/>
      <c r="BZ13"/>
      <c r="CA13"/>
      <c r="CB13"/>
      <c r="CC13"/>
      <c r="CD13"/>
      <c r="CE13"/>
      <c r="CF13"/>
      <c r="CG13"/>
      <c r="CH13"/>
      <c r="CI13"/>
      <c r="CJ13"/>
      <c r="CK13"/>
    </row>
    <row r="14" spans="1:91" ht="16" x14ac:dyDescent="0.2">
      <c r="A14" t="s">
        <v>134</v>
      </c>
      <c r="B14" t="s">
        <v>311</v>
      </c>
      <c r="C14" t="s">
        <v>312</v>
      </c>
      <c r="D14" s="1" t="s">
        <v>73</v>
      </c>
      <c r="E14" s="1" t="s">
        <v>72</v>
      </c>
      <c r="F14" s="1" t="s">
        <v>73</v>
      </c>
      <c r="G14" s="1" t="s">
        <v>73</v>
      </c>
      <c r="J14">
        <v>6</v>
      </c>
      <c r="K14"/>
      <c r="L14">
        <v>10</v>
      </c>
      <c r="M14">
        <v>3</v>
      </c>
      <c r="Q14" s="1" t="s">
        <v>73</v>
      </c>
      <c r="R14" s="1" t="s">
        <v>73</v>
      </c>
      <c r="S14" s="1" t="s">
        <v>73</v>
      </c>
      <c r="T14"/>
      <c r="U14"/>
      <c r="V14"/>
      <c r="W14"/>
      <c r="X14"/>
      <c r="Y14"/>
      <c r="Z14" s="1" t="s">
        <v>73</v>
      </c>
      <c r="AA14" s="1" t="s">
        <v>73</v>
      </c>
      <c r="AB14"/>
      <c r="AD14"/>
      <c r="AE14"/>
      <c r="AF14"/>
      <c r="AG14"/>
      <c r="AH14"/>
      <c r="AI14"/>
      <c r="AJ14"/>
      <c r="AK14" s="1" t="s">
        <v>73</v>
      </c>
      <c r="AL14" s="1" t="s">
        <v>73</v>
      </c>
      <c r="AM14"/>
      <c r="AN14" s="1" t="s">
        <v>73</v>
      </c>
      <c r="AO14"/>
      <c r="AP14" s="1" t="s">
        <v>73</v>
      </c>
      <c r="AQ14"/>
      <c r="AR14" s="1" t="s">
        <v>73</v>
      </c>
      <c r="AT14" t="s">
        <v>72</v>
      </c>
      <c r="AU14">
        <v>2</v>
      </c>
      <c r="AW14" s="1">
        <v>75</v>
      </c>
      <c r="AX14" s="1">
        <v>13</v>
      </c>
      <c r="AY14" s="1" t="s">
        <v>73</v>
      </c>
      <c r="AZ14" s="1" t="s">
        <v>72</v>
      </c>
      <c r="BA14" s="61" t="s">
        <v>73</v>
      </c>
      <c r="BB14">
        <v>1939</v>
      </c>
      <c r="BC14" s="85">
        <v>45653.433240740742</v>
      </c>
      <c r="BD14" s="85">
        <v>45653.391574074078</v>
      </c>
      <c r="BE14" t="s">
        <v>73</v>
      </c>
      <c r="BF14" t="s">
        <v>73</v>
      </c>
      <c r="BG14" t="s">
        <v>73</v>
      </c>
      <c r="BH14" t="s">
        <v>73</v>
      </c>
      <c r="BI14" t="s">
        <v>73</v>
      </c>
      <c r="BJ14" t="s">
        <v>73</v>
      </c>
      <c r="BL14" t="s">
        <v>73</v>
      </c>
      <c r="BM14" t="s">
        <v>73</v>
      </c>
      <c r="BN14" t="s">
        <v>73</v>
      </c>
      <c r="BO14" t="s">
        <v>73</v>
      </c>
      <c r="BP14" t="s">
        <v>73</v>
      </c>
      <c r="BQ14" s="1" t="s">
        <v>73</v>
      </c>
      <c r="BS14" s="1" t="s">
        <v>73</v>
      </c>
      <c r="BT14" s="1" t="s">
        <v>369</v>
      </c>
      <c r="BU14" s="1" t="s">
        <v>369</v>
      </c>
      <c r="BV14" s="1" t="s">
        <v>369</v>
      </c>
      <c r="BX14"/>
      <c r="BY14"/>
      <c r="BZ14"/>
      <c r="CA14"/>
      <c r="CB14"/>
      <c r="CC14"/>
      <c r="CD14"/>
      <c r="CE14"/>
      <c r="CF14"/>
      <c r="CG14"/>
      <c r="CH14"/>
      <c r="CI14"/>
      <c r="CJ14"/>
      <c r="CK14"/>
    </row>
    <row r="15" spans="1:91" ht="16" x14ac:dyDescent="0.2">
      <c r="A15" t="s">
        <v>134</v>
      </c>
      <c r="B15" t="s">
        <v>292</v>
      </c>
      <c r="C15" t="s">
        <v>293</v>
      </c>
      <c r="D15" s="1" t="s">
        <v>73</v>
      </c>
      <c r="E15" s="1" t="s">
        <v>72</v>
      </c>
      <c r="F15" s="1" t="s">
        <v>72</v>
      </c>
      <c r="G15" s="1" t="s">
        <v>73</v>
      </c>
      <c r="I15" s="1">
        <v>14</v>
      </c>
      <c r="J15"/>
      <c r="K15"/>
      <c r="L15">
        <v>4</v>
      </c>
      <c r="M15"/>
      <c r="Q15" s="1" t="s">
        <v>73</v>
      </c>
      <c r="R15" s="1" t="s">
        <v>73</v>
      </c>
      <c r="S15" s="1" t="s">
        <v>73</v>
      </c>
      <c r="T15"/>
      <c r="U15"/>
      <c r="V15"/>
      <c r="W15"/>
      <c r="X15"/>
      <c r="Y15"/>
      <c r="Z15" s="1" t="s">
        <v>73</v>
      </c>
      <c r="AA15" s="1" t="s">
        <v>73</v>
      </c>
      <c r="AB15"/>
      <c r="AC15" s="1">
        <v>4</v>
      </c>
      <c r="AD15"/>
      <c r="AE15"/>
      <c r="AF15"/>
      <c r="AG15">
        <v>4</v>
      </c>
      <c r="AH15"/>
      <c r="AI15"/>
      <c r="AJ15"/>
      <c r="AK15" s="1" t="s">
        <v>73</v>
      </c>
      <c r="AL15" s="1" t="s">
        <v>72</v>
      </c>
      <c r="AM15">
        <v>6</v>
      </c>
      <c r="AN15" s="1" t="s">
        <v>72</v>
      </c>
      <c r="AO15">
        <v>6</v>
      </c>
      <c r="AP15" s="1" t="s">
        <v>73</v>
      </c>
      <c r="AQ15"/>
      <c r="AR15" s="1" t="s">
        <v>72</v>
      </c>
      <c r="AS15">
        <v>6</v>
      </c>
      <c r="AT15" t="s">
        <v>72</v>
      </c>
      <c r="AU15">
        <v>2</v>
      </c>
      <c r="AW15" s="1">
        <v>65</v>
      </c>
      <c r="AX15" s="1">
        <v>15</v>
      </c>
      <c r="AY15" s="1" t="s">
        <v>72</v>
      </c>
      <c r="AZ15" s="1" t="s">
        <v>73</v>
      </c>
      <c r="BA15" s="61" t="s">
        <v>73</v>
      </c>
      <c r="BB15">
        <v>1935</v>
      </c>
      <c r="BC15" s="85">
        <v>45653.008796296293</v>
      </c>
      <c r="BD15" s="85">
        <v>45652.967129629629</v>
      </c>
      <c r="BE15" t="s">
        <v>73</v>
      </c>
      <c r="BF15" t="s">
        <v>73</v>
      </c>
      <c r="BG15" t="s">
        <v>73</v>
      </c>
      <c r="BH15" t="s">
        <v>73</v>
      </c>
      <c r="BI15" t="s">
        <v>73</v>
      </c>
      <c r="BJ15" t="s">
        <v>73</v>
      </c>
      <c r="BL15" t="s">
        <v>73</v>
      </c>
      <c r="BM15" t="s">
        <v>73</v>
      </c>
      <c r="BN15" t="s">
        <v>73</v>
      </c>
      <c r="BO15" t="s">
        <v>73</v>
      </c>
      <c r="BP15" t="s">
        <v>73</v>
      </c>
      <c r="BQ15" s="1" t="s">
        <v>73</v>
      </c>
      <c r="BS15" s="1" t="s">
        <v>73</v>
      </c>
      <c r="BT15" s="1" t="s">
        <v>369</v>
      </c>
      <c r="BU15" s="1" t="s">
        <v>369</v>
      </c>
      <c r="BV15" s="1" t="s">
        <v>369</v>
      </c>
      <c r="BX15"/>
      <c r="BY15"/>
      <c r="BZ15"/>
      <c r="CA15"/>
      <c r="CB15"/>
      <c r="CC15"/>
      <c r="CD15"/>
      <c r="CE15"/>
      <c r="CF15"/>
      <c r="CG15"/>
      <c r="CH15"/>
      <c r="CI15"/>
      <c r="CJ15"/>
      <c r="CK15"/>
    </row>
    <row r="16" spans="1:91" ht="16" x14ac:dyDescent="0.2">
      <c r="A16" t="s">
        <v>134</v>
      </c>
      <c r="B16" t="s">
        <v>288</v>
      </c>
      <c r="C16" t="s">
        <v>289</v>
      </c>
      <c r="D16" s="1" t="s">
        <v>72</v>
      </c>
      <c r="E16" s="1" t="s">
        <v>73</v>
      </c>
      <c r="F16" s="1" t="s">
        <v>73</v>
      </c>
      <c r="G16" s="1" t="s">
        <v>73</v>
      </c>
      <c r="J16"/>
      <c r="K16"/>
      <c r="L16"/>
      <c r="M16"/>
      <c r="Q16" s="1" t="s">
        <v>73</v>
      </c>
      <c r="R16" s="1" t="s">
        <v>73</v>
      </c>
      <c r="S16" s="1" t="s">
        <v>73</v>
      </c>
      <c r="T16"/>
      <c r="U16"/>
      <c r="V16"/>
      <c r="W16"/>
      <c r="X16"/>
      <c r="Y16"/>
      <c r="Z16" s="1" t="s">
        <v>73</v>
      </c>
      <c r="AA16" s="1" t="s">
        <v>73</v>
      </c>
      <c r="AB16"/>
      <c r="AD16"/>
      <c r="AE16"/>
      <c r="AF16"/>
      <c r="AG16"/>
      <c r="AH16"/>
      <c r="AI16"/>
      <c r="AJ16"/>
      <c r="AK16" s="1" t="s">
        <v>73</v>
      </c>
      <c r="AL16" s="1" t="s">
        <v>73</v>
      </c>
      <c r="AM16"/>
      <c r="AN16" s="1" t="s">
        <v>73</v>
      </c>
      <c r="AO16"/>
      <c r="AP16" s="1" t="s">
        <v>73</v>
      </c>
      <c r="AQ16"/>
      <c r="AR16" s="1" t="s">
        <v>73</v>
      </c>
      <c r="AT16" t="s">
        <v>73</v>
      </c>
      <c r="AW16" s="1">
        <v>10</v>
      </c>
      <c r="AX16" s="1">
        <v>0</v>
      </c>
      <c r="AY16" s="1" t="s">
        <v>73</v>
      </c>
      <c r="AZ16" s="1" t="s">
        <v>73</v>
      </c>
      <c r="BA16" s="61" t="s">
        <v>73</v>
      </c>
      <c r="BB16">
        <v>1929</v>
      </c>
      <c r="BC16" s="85">
        <v>45652.550474537034</v>
      </c>
      <c r="BD16" s="85">
        <v>45652.50880787037</v>
      </c>
      <c r="BE16" t="s">
        <v>73</v>
      </c>
      <c r="BF16" t="s">
        <v>73</v>
      </c>
      <c r="BG16" t="s">
        <v>73</v>
      </c>
      <c r="BH16" t="s">
        <v>73</v>
      </c>
      <c r="BI16" t="s">
        <v>73</v>
      </c>
      <c r="BJ16" t="s">
        <v>73</v>
      </c>
      <c r="BL16" t="s">
        <v>73</v>
      </c>
      <c r="BM16" t="s">
        <v>73</v>
      </c>
      <c r="BN16" t="s">
        <v>73</v>
      </c>
      <c r="BO16" t="s">
        <v>73</v>
      </c>
      <c r="BP16" t="s">
        <v>73</v>
      </c>
      <c r="BQ16" s="1" t="s">
        <v>73</v>
      </c>
      <c r="BS16" s="1" t="s">
        <v>73</v>
      </c>
      <c r="BT16" s="1" t="s">
        <v>369</v>
      </c>
      <c r="BU16" s="1" t="s">
        <v>369</v>
      </c>
      <c r="BV16" s="1" t="s">
        <v>369</v>
      </c>
      <c r="BX16"/>
      <c r="BY16"/>
      <c r="BZ16"/>
      <c r="CA16"/>
      <c r="CB16"/>
      <c r="CC16"/>
      <c r="CD16"/>
      <c r="CE16"/>
      <c r="CF16"/>
      <c r="CG16"/>
      <c r="CH16"/>
      <c r="CI16"/>
      <c r="CJ16"/>
      <c r="CK16"/>
    </row>
    <row r="17" spans="1:89" ht="16" x14ac:dyDescent="0.2">
      <c r="A17" t="s">
        <v>134</v>
      </c>
      <c r="B17" t="s">
        <v>283</v>
      </c>
      <c r="C17" t="s">
        <v>284</v>
      </c>
      <c r="D17" s="1" t="s">
        <v>73</v>
      </c>
      <c r="E17" s="1" t="s">
        <v>72</v>
      </c>
      <c r="F17" s="1" t="s">
        <v>73</v>
      </c>
      <c r="G17" s="1" t="s">
        <v>73</v>
      </c>
      <c r="I17" s="1">
        <v>4</v>
      </c>
      <c r="J17"/>
      <c r="K17"/>
      <c r="L17"/>
      <c r="M17"/>
      <c r="Q17" s="1" t="s">
        <v>73</v>
      </c>
      <c r="R17" s="1" t="s">
        <v>73</v>
      </c>
      <c r="S17" s="1" t="s">
        <v>73</v>
      </c>
      <c r="T17"/>
      <c r="U17"/>
      <c r="V17"/>
      <c r="W17"/>
      <c r="X17"/>
      <c r="Y17"/>
      <c r="Z17" s="1" t="s">
        <v>73</v>
      </c>
      <c r="AA17" s="1" t="s">
        <v>73</v>
      </c>
      <c r="AB17"/>
      <c r="AD17"/>
      <c r="AE17"/>
      <c r="AF17"/>
      <c r="AG17"/>
      <c r="AH17"/>
      <c r="AI17"/>
      <c r="AJ17"/>
      <c r="AK17" s="1" t="s">
        <v>73</v>
      </c>
      <c r="AL17" s="1" t="s">
        <v>72</v>
      </c>
      <c r="AM17">
        <v>6</v>
      </c>
      <c r="AN17" s="1" t="s">
        <v>72</v>
      </c>
      <c r="AO17">
        <v>6</v>
      </c>
      <c r="AP17" s="1" t="s">
        <v>73</v>
      </c>
      <c r="AQ17"/>
      <c r="AR17" s="1" t="s">
        <v>72</v>
      </c>
      <c r="AS17">
        <v>6</v>
      </c>
      <c r="AT17" t="s">
        <v>73</v>
      </c>
      <c r="AW17" s="1">
        <v>42</v>
      </c>
      <c r="AX17" s="1">
        <v>5</v>
      </c>
      <c r="AY17" s="1" t="s">
        <v>73</v>
      </c>
      <c r="AZ17" s="1" t="s">
        <v>73</v>
      </c>
      <c r="BA17" s="61" t="s">
        <v>73</v>
      </c>
      <c r="BB17">
        <v>1918</v>
      </c>
      <c r="BC17" s="85">
        <v>45650.73678240741</v>
      </c>
      <c r="BD17" s="85">
        <v>45650.695115740738</v>
      </c>
      <c r="BE17" t="s">
        <v>73</v>
      </c>
      <c r="BF17" t="s">
        <v>73</v>
      </c>
      <c r="BG17" t="s">
        <v>73</v>
      </c>
      <c r="BH17" t="s">
        <v>73</v>
      </c>
      <c r="BI17" t="s">
        <v>73</v>
      </c>
      <c r="BJ17" t="s">
        <v>73</v>
      </c>
      <c r="BL17" t="s">
        <v>73</v>
      </c>
      <c r="BM17" t="s">
        <v>73</v>
      </c>
      <c r="BN17" t="s">
        <v>73</v>
      </c>
      <c r="BO17" t="s">
        <v>73</v>
      </c>
      <c r="BP17" t="s">
        <v>73</v>
      </c>
      <c r="BQ17" s="1" t="s">
        <v>73</v>
      </c>
      <c r="BS17" s="1" t="s">
        <v>73</v>
      </c>
      <c r="BT17" s="1" t="s">
        <v>369</v>
      </c>
      <c r="BU17" s="1" t="s">
        <v>369</v>
      </c>
      <c r="BV17" s="1" t="s">
        <v>369</v>
      </c>
      <c r="BX17"/>
      <c r="BY17"/>
      <c r="BZ17"/>
      <c r="CA17"/>
      <c r="CB17"/>
      <c r="CC17"/>
      <c r="CD17"/>
      <c r="CE17"/>
      <c r="CF17"/>
      <c r="CG17"/>
      <c r="CH17"/>
      <c r="CI17"/>
      <c r="CJ17"/>
      <c r="CK17"/>
    </row>
    <row r="18" spans="1:89" ht="16" x14ac:dyDescent="0.2">
      <c r="A18" t="s">
        <v>134</v>
      </c>
      <c r="B18" t="s">
        <v>269</v>
      </c>
      <c r="C18" t="s">
        <v>270</v>
      </c>
      <c r="D18" s="1" t="s">
        <v>73</v>
      </c>
      <c r="E18" s="1" t="s">
        <v>72</v>
      </c>
      <c r="F18" s="1" t="s">
        <v>73</v>
      </c>
      <c r="G18" s="1" t="s">
        <v>73</v>
      </c>
      <c r="J18">
        <v>5</v>
      </c>
      <c r="K18"/>
      <c r="L18"/>
      <c r="M18"/>
      <c r="Q18" s="1" t="s">
        <v>73</v>
      </c>
      <c r="R18" s="1" t="s">
        <v>73</v>
      </c>
      <c r="S18" s="1" t="s">
        <v>73</v>
      </c>
      <c r="T18"/>
      <c r="U18"/>
      <c r="V18"/>
      <c r="W18"/>
      <c r="X18"/>
      <c r="Y18"/>
      <c r="Z18" s="1" t="s">
        <v>73</v>
      </c>
      <c r="AA18" s="1" t="s">
        <v>73</v>
      </c>
      <c r="AB18"/>
      <c r="AC18" s="1">
        <v>5</v>
      </c>
      <c r="AD18"/>
      <c r="AE18">
        <v>2</v>
      </c>
      <c r="AF18"/>
      <c r="AG18">
        <v>5</v>
      </c>
      <c r="AH18"/>
      <c r="AI18">
        <v>2</v>
      </c>
      <c r="AJ18"/>
      <c r="AK18" s="1" t="s">
        <v>73</v>
      </c>
      <c r="AL18" s="1" t="s">
        <v>72</v>
      </c>
      <c r="AM18">
        <v>4</v>
      </c>
      <c r="AN18" s="1" t="s">
        <v>72</v>
      </c>
      <c r="AO18">
        <v>2</v>
      </c>
      <c r="AP18" s="1" t="s">
        <v>73</v>
      </c>
      <c r="AQ18"/>
      <c r="AR18" s="1" t="s">
        <v>72</v>
      </c>
      <c r="AS18">
        <v>4</v>
      </c>
      <c r="AT18" t="s">
        <v>73</v>
      </c>
      <c r="AW18" s="1">
        <v>50</v>
      </c>
      <c r="AX18" s="1">
        <v>10</v>
      </c>
      <c r="AY18" s="1" t="s">
        <v>73</v>
      </c>
      <c r="AZ18" s="1" t="s">
        <v>73</v>
      </c>
      <c r="BA18" s="61" t="s">
        <v>73</v>
      </c>
      <c r="BB18">
        <v>1907</v>
      </c>
      <c r="BC18" s="85">
        <v>45649.605740740742</v>
      </c>
      <c r="BD18" s="85">
        <v>45649.564074074071</v>
      </c>
      <c r="BE18" t="s">
        <v>73</v>
      </c>
      <c r="BF18" t="s">
        <v>73</v>
      </c>
      <c r="BG18" t="s">
        <v>73</v>
      </c>
      <c r="BH18" t="s">
        <v>73</v>
      </c>
      <c r="BI18" t="s">
        <v>73</v>
      </c>
      <c r="BJ18" t="s">
        <v>73</v>
      </c>
      <c r="BL18" t="s">
        <v>73</v>
      </c>
      <c r="BM18" t="s">
        <v>73</v>
      </c>
      <c r="BN18" t="s">
        <v>73</v>
      </c>
      <c r="BO18" t="s">
        <v>73</v>
      </c>
      <c r="BP18" t="s">
        <v>73</v>
      </c>
      <c r="BQ18" s="1" t="s">
        <v>73</v>
      </c>
      <c r="BS18" s="1" t="s">
        <v>73</v>
      </c>
      <c r="BT18" s="1" t="s">
        <v>369</v>
      </c>
      <c r="BU18" s="1" t="s">
        <v>369</v>
      </c>
      <c r="BV18" s="1" t="s">
        <v>369</v>
      </c>
      <c r="BX18"/>
      <c r="BY18"/>
      <c r="BZ18"/>
      <c r="CA18"/>
      <c r="CB18"/>
      <c r="CC18"/>
      <c r="CD18"/>
      <c r="CE18"/>
      <c r="CF18"/>
      <c r="CG18"/>
      <c r="CH18"/>
      <c r="CI18"/>
      <c r="CJ18"/>
      <c r="CK18"/>
    </row>
    <row r="19" spans="1:89" ht="16" x14ac:dyDescent="0.2">
      <c r="A19" t="s">
        <v>134</v>
      </c>
      <c r="B19" t="s">
        <v>234</v>
      </c>
      <c r="C19" t="s">
        <v>235</v>
      </c>
      <c r="D19" s="1" t="s">
        <v>73</v>
      </c>
      <c r="E19" s="1" t="s">
        <v>72</v>
      </c>
      <c r="F19" s="1" t="s">
        <v>73</v>
      </c>
      <c r="G19" s="1" t="s">
        <v>73</v>
      </c>
      <c r="I19" s="1">
        <v>16</v>
      </c>
      <c r="J19"/>
      <c r="K19"/>
      <c r="L19"/>
      <c r="M19"/>
      <c r="Q19" s="1" t="s">
        <v>73</v>
      </c>
      <c r="R19" s="1" t="s">
        <v>73</v>
      </c>
      <c r="S19" s="1" t="s">
        <v>73</v>
      </c>
      <c r="T19"/>
      <c r="U19"/>
      <c r="V19"/>
      <c r="W19"/>
      <c r="X19"/>
      <c r="Y19"/>
      <c r="Z19" s="1" t="s">
        <v>73</v>
      </c>
      <c r="AA19" s="1" t="s">
        <v>73</v>
      </c>
      <c r="AB19"/>
      <c r="AC19" s="1">
        <v>5</v>
      </c>
      <c r="AD19"/>
      <c r="AE19"/>
      <c r="AF19"/>
      <c r="AG19">
        <v>5</v>
      </c>
      <c r="AH19"/>
      <c r="AI19"/>
      <c r="AJ19"/>
      <c r="AK19" s="1" t="s">
        <v>73</v>
      </c>
      <c r="AL19" s="1" t="s">
        <v>72</v>
      </c>
      <c r="AM19">
        <v>5</v>
      </c>
      <c r="AN19" s="1" t="s">
        <v>72</v>
      </c>
      <c r="AO19">
        <v>5</v>
      </c>
      <c r="AP19" s="1" t="s">
        <v>73</v>
      </c>
      <c r="AQ19"/>
      <c r="AR19" s="1" t="s">
        <v>72</v>
      </c>
      <c r="AS19">
        <v>5</v>
      </c>
      <c r="AT19" t="s">
        <v>73</v>
      </c>
      <c r="AW19" s="1">
        <v>100</v>
      </c>
      <c r="AX19" s="1">
        <v>8</v>
      </c>
      <c r="AY19" s="1" t="s">
        <v>72</v>
      </c>
      <c r="AZ19" s="1" t="s">
        <v>72</v>
      </c>
      <c r="BA19" s="61" t="s">
        <v>73</v>
      </c>
      <c r="BB19">
        <v>1876</v>
      </c>
      <c r="BC19" s="85">
        <v>45646.477731481478</v>
      </c>
      <c r="BD19" s="85">
        <v>45646.436064814814</v>
      </c>
      <c r="BE19" t="s">
        <v>73</v>
      </c>
      <c r="BF19" t="s">
        <v>73</v>
      </c>
      <c r="BG19" t="s">
        <v>73</v>
      </c>
      <c r="BH19" t="s">
        <v>73</v>
      </c>
      <c r="BI19" t="s">
        <v>73</v>
      </c>
      <c r="BJ19" t="s">
        <v>73</v>
      </c>
      <c r="BL19" t="s">
        <v>73</v>
      </c>
      <c r="BM19" t="s">
        <v>73</v>
      </c>
      <c r="BN19" t="s">
        <v>73</v>
      </c>
      <c r="BO19" t="s">
        <v>73</v>
      </c>
      <c r="BP19" t="s">
        <v>73</v>
      </c>
      <c r="BQ19" s="1" t="s">
        <v>73</v>
      </c>
      <c r="BS19" s="1" t="s">
        <v>73</v>
      </c>
      <c r="BT19" s="1" t="s">
        <v>369</v>
      </c>
      <c r="BU19" s="1" t="s">
        <v>369</v>
      </c>
      <c r="BV19" s="1" t="s">
        <v>369</v>
      </c>
      <c r="BX19"/>
      <c r="BY19"/>
      <c r="BZ19"/>
      <c r="CA19"/>
      <c r="CB19"/>
      <c r="CC19"/>
      <c r="CD19"/>
      <c r="CE19"/>
      <c r="CF19"/>
      <c r="CG19"/>
      <c r="CH19"/>
      <c r="CI19"/>
      <c r="CJ19"/>
      <c r="CK19"/>
    </row>
    <row r="20" spans="1:89" ht="16" x14ac:dyDescent="0.2">
      <c r="A20" t="s">
        <v>134</v>
      </c>
      <c r="B20" t="s">
        <v>224</v>
      </c>
      <c r="C20" t="s">
        <v>225</v>
      </c>
      <c r="D20" s="1" t="s">
        <v>73</v>
      </c>
      <c r="E20" s="1" t="s">
        <v>72</v>
      </c>
      <c r="F20" s="1" t="s">
        <v>73</v>
      </c>
      <c r="G20" s="1" t="s">
        <v>73</v>
      </c>
      <c r="J20"/>
      <c r="K20"/>
      <c r="L20"/>
      <c r="M20"/>
      <c r="Q20" s="1" t="s">
        <v>73</v>
      </c>
      <c r="R20" s="1" t="s">
        <v>73</v>
      </c>
      <c r="S20" s="1" t="s">
        <v>73</v>
      </c>
      <c r="T20"/>
      <c r="U20"/>
      <c r="V20"/>
      <c r="W20"/>
      <c r="X20"/>
      <c r="Y20"/>
      <c r="Z20" s="1" t="s">
        <v>73</v>
      </c>
      <c r="AA20" s="1" t="s">
        <v>73</v>
      </c>
      <c r="AB20"/>
      <c r="AD20"/>
      <c r="AE20"/>
      <c r="AF20"/>
      <c r="AG20"/>
      <c r="AH20"/>
      <c r="AI20"/>
      <c r="AJ20"/>
      <c r="AK20" s="1" t="s">
        <v>73</v>
      </c>
      <c r="AL20" s="1" t="s">
        <v>73</v>
      </c>
      <c r="AM20"/>
      <c r="AN20" s="1" t="s">
        <v>73</v>
      </c>
      <c r="AO20"/>
      <c r="AP20" s="1" t="s">
        <v>73</v>
      </c>
      <c r="AQ20"/>
      <c r="AR20" s="1" t="s">
        <v>73</v>
      </c>
      <c r="AT20" t="s">
        <v>73</v>
      </c>
      <c r="AW20" s="1">
        <v>50</v>
      </c>
      <c r="AX20" s="1">
        <v>6</v>
      </c>
      <c r="AY20" s="1" t="s">
        <v>73</v>
      </c>
      <c r="AZ20" s="1" t="s">
        <v>72</v>
      </c>
      <c r="BA20" s="61" t="s">
        <v>73</v>
      </c>
      <c r="BB20">
        <v>1863</v>
      </c>
      <c r="BC20" s="85">
        <v>45644.607523148145</v>
      </c>
      <c r="BD20" s="85">
        <v>45644.56585648148</v>
      </c>
      <c r="BE20" t="s">
        <v>73</v>
      </c>
      <c r="BF20" t="s">
        <v>73</v>
      </c>
      <c r="BG20" t="s">
        <v>73</v>
      </c>
      <c r="BH20" t="s">
        <v>73</v>
      </c>
      <c r="BI20" t="s">
        <v>73</v>
      </c>
      <c r="BJ20" t="s">
        <v>73</v>
      </c>
      <c r="BL20" t="s">
        <v>73</v>
      </c>
      <c r="BM20" t="s">
        <v>73</v>
      </c>
      <c r="BN20" t="s">
        <v>73</v>
      </c>
      <c r="BO20" t="s">
        <v>73</v>
      </c>
      <c r="BP20" t="s">
        <v>73</v>
      </c>
      <c r="BQ20" s="1" t="s">
        <v>73</v>
      </c>
      <c r="BS20" s="1" t="s">
        <v>73</v>
      </c>
      <c r="BT20" s="1" t="s">
        <v>369</v>
      </c>
      <c r="BU20" s="1" t="s">
        <v>369</v>
      </c>
      <c r="BV20" s="1" t="s">
        <v>369</v>
      </c>
      <c r="BX20"/>
      <c r="BY20"/>
      <c r="BZ20"/>
      <c r="CA20"/>
      <c r="CB20"/>
      <c r="CC20"/>
      <c r="CD20"/>
      <c r="CE20"/>
      <c r="CF20"/>
      <c r="CG20"/>
      <c r="CH20"/>
      <c r="CI20"/>
      <c r="CJ20"/>
      <c r="CK20"/>
    </row>
    <row r="21" spans="1:89" ht="16" x14ac:dyDescent="0.2">
      <c r="A21" t="s">
        <v>134</v>
      </c>
      <c r="B21" t="s">
        <v>207</v>
      </c>
      <c r="C21" t="s">
        <v>236</v>
      </c>
      <c r="D21" s="1" t="s">
        <v>73</v>
      </c>
      <c r="E21" s="1" t="s">
        <v>72</v>
      </c>
      <c r="F21" s="1" t="s">
        <v>72</v>
      </c>
      <c r="G21" s="1" t="s">
        <v>73</v>
      </c>
      <c r="I21" s="1">
        <v>7</v>
      </c>
      <c r="J21"/>
      <c r="K21"/>
      <c r="L21"/>
      <c r="M21"/>
      <c r="Q21" s="1" t="s">
        <v>73</v>
      </c>
      <c r="R21" s="1" t="s">
        <v>73</v>
      </c>
      <c r="S21" s="1" t="s">
        <v>73</v>
      </c>
      <c r="T21"/>
      <c r="U21"/>
      <c r="V21"/>
      <c r="W21"/>
      <c r="X21"/>
      <c r="Y21"/>
      <c r="Z21" s="1" t="s">
        <v>73</v>
      </c>
      <c r="AA21" s="1" t="s">
        <v>73</v>
      </c>
      <c r="AB21"/>
      <c r="AD21"/>
      <c r="AE21"/>
      <c r="AF21"/>
      <c r="AG21"/>
      <c r="AH21"/>
      <c r="AI21"/>
      <c r="AJ21"/>
      <c r="AK21" s="1" t="s">
        <v>72</v>
      </c>
      <c r="AL21" s="1" t="s">
        <v>72</v>
      </c>
      <c r="AM21">
        <v>6</v>
      </c>
      <c r="AN21" s="1" t="s">
        <v>72</v>
      </c>
      <c r="AO21">
        <v>6</v>
      </c>
      <c r="AP21" s="1" t="s">
        <v>73</v>
      </c>
      <c r="AQ21"/>
      <c r="AR21" s="1" t="s">
        <v>72</v>
      </c>
      <c r="AS21">
        <v>6</v>
      </c>
      <c r="AT21" t="s">
        <v>73</v>
      </c>
      <c r="AW21" s="1">
        <v>57</v>
      </c>
      <c r="AX21" s="1">
        <v>2</v>
      </c>
      <c r="AY21" s="1" t="s">
        <v>73</v>
      </c>
      <c r="AZ21" s="1" t="s">
        <v>73</v>
      </c>
      <c r="BA21" s="61" t="s">
        <v>73</v>
      </c>
      <c r="BB21">
        <v>1856</v>
      </c>
      <c r="BC21" s="85">
        <v>45643.504120370373</v>
      </c>
      <c r="BD21" s="85">
        <v>45646.44630787037</v>
      </c>
      <c r="BE21" t="s">
        <v>73</v>
      </c>
      <c r="BF21" t="s">
        <v>73</v>
      </c>
      <c r="BG21" t="s">
        <v>73</v>
      </c>
      <c r="BH21" t="s">
        <v>73</v>
      </c>
      <c r="BI21" t="s">
        <v>73</v>
      </c>
      <c r="BJ21" t="s">
        <v>73</v>
      </c>
      <c r="BL21" t="s">
        <v>73</v>
      </c>
      <c r="BM21" t="s">
        <v>73</v>
      </c>
      <c r="BN21" t="s">
        <v>73</v>
      </c>
      <c r="BO21" t="s">
        <v>73</v>
      </c>
      <c r="BP21" t="s">
        <v>73</v>
      </c>
      <c r="BQ21" s="1" t="s">
        <v>73</v>
      </c>
      <c r="BS21" s="1" t="s">
        <v>73</v>
      </c>
      <c r="BT21" s="1" t="s">
        <v>369</v>
      </c>
      <c r="BU21" s="1" t="s">
        <v>369</v>
      </c>
      <c r="BV21" s="1" t="s">
        <v>369</v>
      </c>
      <c r="BX21"/>
      <c r="BY21"/>
      <c r="BZ21"/>
      <c r="CA21"/>
      <c r="CB21"/>
      <c r="CC21"/>
      <c r="CD21"/>
      <c r="CE21"/>
      <c r="CF21"/>
      <c r="CG21"/>
      <c r="CH21"/>
      <c r="CI21"/>
      <c r="CJ21"/>
      <c r="CK21"/>
    </row>
    <row r="22" spans="1:89" ht="16" x14ac:dyDescent="0.2">
      <c r="A22" t="s">
        <v>134</v>
      </c>
      <c r="B22" t="s">
        <v>208</v>
      </c>
      <c r="C22" t="s">
        <v>209</v>
      </c>
      <c r="D22" s="1" t="s">
        <v>73</v>
      </c>
      <c r="E22" s="1" t="s">
        <v>72</v>
      </c>
      <c r="F22" s="1" t="s">
        <v>72</v>
      </c>
      <c r="G22" s="1" t="s">
        <v>73</v>
      </c>
      <c r="I22" s="1">
        <v>8</v>
      </c>
      <c r="J22">
        <v>10</v>
      </c>
      <c r="K22"/>
      <c r="L22">
        <v>4</v>
      </c>
      <c r="M22">
        <v>4</v>
      </c>
      <c r="Q22" s="1" t="s">
        <v>73</v>
      </c>
      <c r="R22" s="1" t="s">
        <v>73</v>
      </c>
      <c r="S22" s="1" t="s">
        <v>73</v>
      </c>
      <c r="T22"/>
      <c r="U22"/>
      <c r="V22"/>
      <c r="W22"/>
      <c r="X22"/>
      <c r="Y22"/>
      <c r="Z22" s="1" t="s">
        <v>73</v>
      </c>
      <c r="AA22" s="1" t="s">
        <v>73</v>
      </c>
      <c r="AB22"/>
      <c r="AD22"/>
      <c r="AE22"/>
      <c r="AF22"/>
      <c r="AG22"/>
      <c r="AH22"/>
      <c r="AI22"/>
      <c r="AJ22"/>
      <c r="AK22" s="1" t="s">
        <v>73</v>
      </c>
      <c r="AL22" s="1" t="s">
        <v>72</v>
      </c>
      <c r="AM22">
        <v>6</v>
      </c>
      <c r="AN22" s="1" t="s">
        <v>72</v>
      </c>
      <c r="AO22">
        <v>6</v>
      </c>
      <c r="AP22" s="1" t="s">
        <v>73</v>
      </c>
      <c r="AQ22"/>
      <c r="AR22" s="1" t="s">
        <v>72</v>
      </c>
      <c r="AS22">
        <v>6</v>
      </c>
      <c r="AT22" t="s">
        <v>73</v>
      </c>
      <c r="AW22" s="1">
        <v>60</v>
      </c>
      <c r="AX22" s="1">
        <v>18</v>
      </c>
      <c r="AY22" s="1" t="s">
        <v>73</v>
      </c>
      <c r="AZ22" s="1" t="s">
        <v>73</v>
      </c>
      <c r="BA22" s="61" t="s">
        <v>73</v>
      </c>
      <c r="BB22">
        <v>1850</v>
      </c>
      <c r="BC22" s="85">
        <v>45642.834224537037</v>
      </c>
      <c r="BD22" s="85">
        <v>45642.792557870373</v>
      </c>
      <c r="BE22" t="s">
        <v>73</v>
      </c>
      <c r="BF22" t="s">
        <v>73</v>
      </c>
      <c r="BG22" t="s">
        <v>73</v>
      </c>
      <c r="BH22" t="s">
        <v>73</v>
      </c>
      <c r="BI22" t="s">
        <v>73</v>
      </c>
      <c r="BJ22" t="s">
        <v>73</v>
      </c>
      <c r="BL22" t="s">
        <v>73</v>
      </c>
      <c r="BM22" t="s">
        <v>73</v>
      </c>
      <c r="BN22" t="s">
        <v>73</v>
      </c>
      <c r="BO22" t="s">
        <v>73</v>
      </c>
      <c r="BP22" t="s">
        <v>73</v>
      </c>
      <c r="BQ22" s="1" t="s">
        <v>73</v>
      </c>
      <c r="BS22" s="1" t="s">
        <v>73</v>
      </c>
      <c r="BT22" s="1" t="s">
        <v>369</v>
      </c>
      <c r="BU22" s="1" t="s">
        <v>369</v>
      </c>
      <c r="BV22" s="1" t="s">
        <v>369</v>
      </c>
      <c r="BX22"/>
      <c r="BY22"/>
      <c r="BZ22"/>
      <c r="CA22"/>
      <c r="CB22"/>
      <c r="CC22"/>
      <c r="CD22"/>
      <c r="CE22"/>
      <c r="CF22"/>
      <c r="CG22"/>
      <c r="CH22"/>
      <c r="CI22"/>
      <c r="CJ22"/>
      <c r="CK22"/>
    </row>
    <row r="23" spans="1:89" ht="16" x14ac:dyDescent="0.2">
      <c r="A23" t="s">
        <v>134</v>
      </c>
      <c r="B23" t="s">
        <v>210</v>
      </c>
      <c r="C23" t="s">
        <v>211</v>
      </c>
      <c r="D23" s="1" t="s">
        <v>73</v>
      </c>
      <c r="E23" s="1" t="s">
        <v>72</v>
      </c>
      <c r="F23" s="1" t="s">
        <v>72</v>
      </c>
      <c r="G23" s="1" t="s">
        <v>73</v>
      </c>
      <c r="I23" s="1">
        <v>5</v>
      </c>
      <c r="J23">
        <v>3</v>
      </c>
      <c r="K23"/>
      <c r="L23"/>
      <c r="M23"/>
      <c r="N23" s="1">
        <v>4</v>
      </c>
      <c r="Q23" s="1" t="s">
        <v>73</v>
      </c>
      <c r="R23" s="1" t="s">
        <v>73</v>
      </c>
      <c r="S23" s="1" t="s">
        <v>73</v>
      </c>
      <c r="T23">
        <v>3</v>
      </c>
      <c r="U23">
        <v>1</v>
      </c>
      <c r="V23"/>
      <c r="W23">
        <v>3</v>
      </c>
      <c r="X23">
        <v>1</v>
      </c>
      <c r="Y23"/>
      <c r="Z23" s="1" t="s">
        <v>73</v>
      </c>
      <c r="AA23" s="1" t="s">
        <v>73</v>
      </c>
      <c r="AB23"/>
      <c r="AD23"/>
      <c r="AE23"/>
      <c r="AF23"/>
      <c r="AG23"/>
      <c r="AH23"/>
      <c r="AI23"/>
      <c r="AJ23"/>
      <c r="AK23" s="1" t="s">
        <v>72</v>
      </c>
      <c r="AL23" s="1" t="s">
        <v>73</v>
      </c>
      <c r="AM23"/>
      <c r="AN23" s="1" t="s">
        <v>73</v>
      </c>
      <c r="AO23"/>
      <c r="AP23" s="1" t="s">
        <v>73</v>
      </c>
      <c r="AQ23"/>
      <c r="AR23" s="1" t="s">
        <v>73</v>
      </c>
      <c r="AT23" t="s">
        <v>73</v>
      </c>
      <c r="AW23" s="1">
        <v>32</v>
      </c>
      <c r="AX23" s="1">
        <v>7</v>
      </c>
      <c r="AY23" s="1" t="s">
        <v>73</v>
      </c>
      <c r="AZ23" s="1" t="s">
        <v>73</v>
      </c>
      <c r="BA23" s="61" t="s">
        <v>73</v>
      </c>
      <c r="BB23">
        <v>1846</v>
      </c>
      <c r="BC23" s="85">
        <v>45642.806666666664</v>
      </c>
      <c r="BD23" s="85">
        <v>45642.764999999999</v>
      </c>
      <c r="BE23" t="s">
        <v>73</v>
      </c>
      <c r="BF23" t="s">
        <v>73</v>
      </c>
      <c r="BG23" t="s">
        <v>73</v>
      </c>
      <c r="BH23" t="s">
        <v>73</v>
      </c>
      <c r="BI23" t="s">
        <v>73</v>
      </c>
      <c r="BJ23" t="s">
        <v>73</v>
      </c>
      <c r="BL23" t="s">
        <v>73</v>
      </c>
      <c r="BM23" t="s">
        <v>73</v>
      </c>
      <c r="BN23" t="s">
        <v>73</v>
      </c>
      <c r="BO23" t="s">
        <v>73</v>
      </c>
      <c r="BP23" t="s">
        <v>73</v>
      </c>
      <c r="BQ23" s="1" t="s">
        <v>73</v>
      </c>
      <c r="BS23" s="1" t="s">
        <v>73</v>
      </c>
      <c r="BT23" s="1" t="s">
        <v>369</v>
      </c>
      <c r="BU23" s="1" t="s">
        <v>369</v>
      </c>
      <c r="BV23" s="1" t="s">
        <v>369</v>
      </c>
      <c r="BX23"/>
      <c r="BY23"/>
      <c r="BZ23"/>
      <c r="CA23"/>
      <c r="CB23"/>
      <c r="CC23"/>
      <c r="CD23"/>
      <c r="CE23"/>
      <c r="CF23"/>
      <c r="CG23"/>
      <c r="CH23"/>
      <c r="CI23"/>
      <c r="CJ23"/>
      <c r="CK23"/>
    </row>
    <row r="24" spans="1:89" ht="16" x14ac:dyDescent="0.2">
      <c r="A24" t="s">
        <v>134</v>
      </c>
      <c r="B24" t="s">
        <v>203</v>
      </c>
      <c r="C24" t="s">
        <v>204</v>
      </c>
      <c r="D24" s="1" t="s">
        <v>73</v>
      </c>
      <c r="E24" s="1" t="s">
        <v>73</v>
      </c>
      <c r="F24" s="1" t="s">
        <v>73</v>
      </c>
      <c r="G24" s="1" t="s">
        <v>73</v>
      </c>
      <c r="J24"/>
      <c r="K24"/>
      <c r="L24"/>
      <c r="M24"/>
      <c r="Q24" s="1" t="s">
        <v>73</v>
      </c>
      <c r="R24" s="1" t="s">
        <v>73</v>
      </c>
      <c r="S24" s="1" t="s">
        <v>73</v>
      </c>
      <c r="T24"/>
      <c r="U24"/>
      <c r="V24"/>
      <c r="W24"/>
      <c r="X24"/>
      <c r="Y24"/>
      <c r="Z24" s="1" t="s">
        <v>73</v>
      </c>
      <c r="AA24" s="1" t="s">
        <v>73</v>
      </c>
      <c r="AB24"/>
      <c r="AD24"/>
      <c r="AE24"/>
      <c r="AF24"/>
      <c r="AG24"/>
      <c r="AH24"/>
      <c r="AI24"/>
      <c r="AJ24"/>
      <c r="AK24" s="1" t="s">
        <v>73</v>
      </c>
      <c r="AL24" s="1" t="s">
        <v>73</v>
      </c>
      <c r="AM24"/>
      <c r="AN24" s="1" t="s">
        <v>73</v>
      </c>
      <c r="AO24"/>
      <c r="AP24" s="1" t="s">
        <v>73</v>
      </c>
      <c r="AQ24"/>
      <c r="AR24" s="1" t="s">
        <v>73</v>
      </c>
      <c r="AT24" t="s">
        <v>73</v>
      </c>
      <c r="AW24" s="1">
        <v>30</v>
      </c>
      <c r="AX24" s="1">
        <v>2</v>
      </c>
      <c r="AY24" s="1" t="s">
        <v>72</v>
      </c>
      <c r="AZ24" s="1" t="s">
        <v>73</v>
      </c>
      <c r="BA24" s="61" t="s">
        <v>73</v>
      </c>
      <c r="BB24">
        <v>1843</v>
      </c>
      <c r="BC24" s="85">
        <v>45642.664270833331</v>
      </c>
      <c r="BD24" s="85">
        <v>45642.632361111115</v>
      </c>
      <c r="BE24" t="s">
        <v>73</v>
      </c>
      <c r="BF24" t="s">
        <v>73</v>
      </c>
      <c r="BG24" t="s">
        <v>73</v>
      </c>
      <c r="BH24" t="s">
        <v>73</v>
      </c>
      <c r="BI24" t="s">
        <v>73</v>
      </c>
      <c r="BJ24" t="s">
        <v>73</v>
      </c>
      <c r="BL24" t="s">
        <v>73</v>
      </c>
      <c r="BM24" t="s">
        <v>73</v>
      </c>
      <c r="BN24" t="s">
        <v>73</v>
      </c>
      <c r="BO24" t="s">
        <v>73</v>
      </c>
      <c r="BP24" t="s">
        <v>73</v>
      </c>
      <c r="BQ24" s="1" t="s">
        <v>73</v>
      </c>
      <c r="BS24" s="1" t="s">
        <v>73</v>
      </c>
      <c r="BT24" s="1" t="s">
        <v>369</v>
      </c>
      <c r="BU24" s="1" t="s">
        <v>369</v>
      </c>
      <c r="BV24" s="1" t="s">
        <v>369</v>
      </c>
      <c r="BX24"/>
      <c r="BY24"/>
      <c r="BZ24"/>
      <c r="CA24"/>
      <c r="CB24"/>
      <c r="CC24"/>
      <c r="CD24"/>
      <c r="CE24"/>
      <c r="CF24"/>
      <c r="CG24"/>
      <c r="CH24"/>
      <c r="CI24"/>
      <c r="CJ24"/>
      <c r="CK24"/>
    </row>
    <row r="25" spans="1:89" ht="16" x14ac:dyDescent="0.2">
      <c r="A25" t="s">
        <v>134</v>
      </c>
      <c r="B25" t="s">
        <v>192</v>
      </c>
      <c r="C25" t="s">
        <v>193</v>
      </c>
      <c r="D25" s="1" t="s">
        <v>73</v>
      </c>
      <c r="E25" s="1" t="s">
        <v>72</v>
      </c>
      <c r="F25" s="1" t="s">
        <v>72</v>
      </c>
      <c r="G25" s="1" t="s">
        <v>73</v>
      </c>
      <c r="I25" s="1">
        <v>8</v>
      </c>
      <c r="J25"/>
      <c r="K25"/>
      <c r="L25"/>
      <c r="M25"/>
      <c r="Q25" s="1" t="s">
        <v>73</v>
      </c>
      <c r="R25" s="1" t="s">
        <v>73</v>
      </c>
      <c r="S25" s="1" t="s">
        <v>73</v>
      </c>
      <c r="T25"/>
      <c r="U25"/>
      <c r="V25"/>
      <c r="W25"/>
      <c r="X25"/>
      <c r="Y25"/>
      <c r="Z25" s="1" t="s">
        <v>73</v>
      </c>
      <c r="AA25" s="1" t="s">
        <v>73</v>
      </c>
      <c r="AB25"/>
      <c r="AC25" s="1">
        <v>3</v>
      </c>
      <c r="AD25"/>
      <c r="AE25"/>
      <c r="AF25"/>
      <c r="AG25">
        <v>3</v>
      </c>
      <c r="AH25"/>
      <c r="AI25"/>
      <c r="AJ25"/>
      <c r="AK25" s="1" t="s">
        <v>72</v>
      </c>
      <c r="AL25" s="1" t="s">
        <v>72</v>
      </c>
      <c r="AM25">
        <v>6</v>
      </c>
      <c r="AN25" s="1" t="s">
        <v>72</v>
      </c>
      <c r="AO25">
        <v>4</v>
      </c>
      <c r="AP25" s="1" t="s">
        <v>73</v>
      </c>
      <c r="AQ25"/>
      <c r="AR25" s="1" t="s">
        <v>72</v>
      </c>
      <c r="AS25">
        <v>6</v>
      </c>
      <c r="AT25" t="s">
        <v>73</v>
      </c>
      <c r="AW25" s="1">
        <v>60</v>
      </c>
      <c r="AX25" s="1">
        <v>1</v>
      </c>
      <c r="AY25" s="1" t="s">
        <v>72</v>
      </c>
      <c r="AZ25" s="1" t="s">
        <v>72</v>
      </c>
      <c r="BA25" s="61" t="s">
        <v>73</v>
      </c>
      <c r="BB25">
        <v>1840</v>
      </c>
      <c r="BC25" s="85">
        <v>45641.723495370374</v>
      </c>
      <c r="BD25" s="85">
        <v>45641.681828703702</v>
      </c>
      <c r="BE25" t="s">
        <v>73</v>
      </c>
      <c r="BF25" t="s">
        <v>73</v>
      </c>
      <c r="BG25" t="s">
        <v>73</v>
      </c>
      <c r="BH25" t="s">
        <v>73</v>
      </c>
      <c r="BI25" t="s">
        <v>73</v>
      </c>
      <c r="BJ25" t="s">
        <v>73</v>
      </c>
      <c r="BL25" t="s">
        <v>73</v>
      </c>
      <c r="BM25" t="s">
        <v>73</v>
      </c>
      <c r="BN25" t="s">
        <v>73</v>
      </c>
      <c r="BO25" t="s">
        <v>73</v>
      </c>
      <c r="BP25" t="s">
        <v>73</v>
      </c>
      <c r="BQ25" s="1" t="s">
        <v>73</v>
      </c>
      <c r="BS25" s="1" t="s">
        <v>73</v>
      </c>
      <c r="BT25" s="1" t="s">
        <v>369</v>
      </c>
      <c r="BU25" s="1" t="s">
        <v>369</v>
      </c>
      <c r="BV25" s="1" t="s">
        <v>369</v>
      </c>
      <c r="BX25"/>
      <c r="BY25"/>
      <c r="BZ25"/>
      <c r="CA25"/>
      <c r="CB25"/>
      <c r="CC25"/>
      <c r="CD25"/>
      <c r="CE25"/>
      <c r="CF25"/>
      <c r="CG25"/>
      <c r="CH25"/>
      <c r="CI25"/>
      <c r="CJ25"/>
      <c r="CK25"/>
    </row>
    <row r="26" spans="1:89" ht="97" thickBot="1" x14ac:dyDescent="0.25">
      <c r="A26" t="s">
        <v>134</v>
      </c>
      <c r="B26" t="s">
        <v>174</v>
      </c>
      <c r="C26" t="s">
        <v>130</v>
      </c>
      <c r="D26" s="1" t="s">
        <v>73</v>
      </c>
      <c r="E26" s="1" t="s">
        <v>72</v>
      </c>
      <c r="F26" s="1" t="s">
        <v>73</v>
      </c>
      <c r="G26" s="1" t="s">
        <v>73</v>
      </c>
      <c r="I26" s="1">
        <v>4</v>
      </c>
      <c r="J26"/>
      <c r="K26"/>
      <c r="L26"/>
      <c r="M26"/>
      <c r="Q26" s="1" t="s">
        <v>73</v>
      </c>
      <c r="R26" s="1" t="s">
        <v>73</v>
      </c>
      <c r="S26" s="1" t="s">
        <v>73</v>
      </c>
      <c r="T26"/>
      <c r="U26"/>
      <c r="V26"/>
      <c r="W26"/>
      <c r="X26"/>
      <c r="Y26"/>
      <c r="Z26" s="1" t="s">
        <v>73</v>
      </c>
      <c r="AA26" s="1" t="s">
        <v>73</v>
      </c>
      <c r="AB26"/>
      <c r="AD26"/>
      <c r="AE26"/>
      <c r="AF26"/>
      <c r="AG26"/>
      <c r="AH26"/>
      <c r="AI26"/>
      <c r="AJ26"/>
      <c r="AK26" s="1" t="s">
        <v>73</v>
      </c>
      <c r="AL26" s="1" t="s">
        <v>72</v>
      </c>
      <c r="AM26">
        <v>4</v>
      </c>
      <c r="AN26" s="1" t="s">
        <v>72</v>
      </c>
      <c r="AO26">
        <v>4</v>
      </c>
      <c r="AP26" s="1" t="s">
        <v>73</v>
      </c>
      <c r="AQ26"/>
      <c r="AR26" s="1" t="s">
        <v>73</v>
      </c>
      <c r="AT26" t="s">
        <v>73</v>
      </c>
      <c r="AW26" s="1">
        <v>50</v>
      </c>
      <c r="AX26" s="1">
        <v>0</v>
      </c>
      <c r="AY26" s="1" t="s">
        <v>73</v>
      </c>
      <c r="AZ26" s="1" t="s">
        <v>73</v>
      </c>
      <c r="BA26" s="61" t="s">
        <v>131</v>
      </c>
      <c r="BB26">
        <v>1809</v>
      </c>
      <c r="BC26" s="85">
        <v>45628.780671296299</v>
      </c>
      <c r="BD26" s="85">
        <v>45631.711145833331</v>
      </c>
      <c r="BE26" t="s">
        <v>73</v>
      </c>
      <c r="BF26" t="s">
        <v>73</v>
      </c>
      <c r="BG26" t="s">
        <v>73</v>
      </c>
      <c r="BH26" t="s">
        <v>73</v>
      </c>
      <c r="BI26" t="s">
        <v>73</v>
      </c>
      <c r="BJ26" t="s">
        <v>73</v>
      </c>
      <c r="BL26" t="s">
        <v>73</v>
      </c>
      <c r="BM26" t="s">
        <v>73</v>
      </c>
      <c r="BN26" t="s">
        <v>73</v>
      </c>
      <c r="BO26" t="s">
        <v>73</v>
      </c>
      <c r="BP26" t="s">
        <v>73</v>
      </c>
      <c r="BQ26" s="1" t="s">
        <v>73</v>
      </c>
      <c r="BS26" s="1" t="s">
        <v>73</v>
      </c>
      <c r="BT26" s="1" t="s">
        <v>369</v>
      </c>
      <c r="BU26" s="1" t="s">
        <v>369</v>
      </c>
      <c r="BV26" s="1" t="s">
        <v>369</v>
      </c>
      <c r="BX26"/>
      <c r="BY26"/>
      <c r="BZ26"/>
      <c r="CA26"/>
      <c r="CB26"/>
      <c r="CC26"/>
      <c r="CD26"/>
      <c r="CE26"/>
      <c r="CF26"/>
      <c r="CG26"/>
      <c r="CH26"/>
      <c r="CI26"/>
      <c r="CJ26"/>
      <c r="CK26"/>
    </row>
    <row r="27" spans="1:89" ht="16" thickTop="1" x14ac:dyDescent="0.2">
      <c r="A27" t="s">
        <v>79</v>
      </c>
      <c r="C27">
        <f>SUBTOTAL(103,KDL[Naam vereniging])</f>
        <v>20</v>
      </c>
      <c r="D27" s="1">
        <f>COUNTIF(KDL[Delegatie],"x")</f>
        <v>1</v>
      </c>
      <c r="E27" s="16">
        <f>COUNTIF(KDL[Muziekkorps bij mars en defilé],"x")</f>
        <v>18</v>
      </c>
      <c r="F27" s="16">
        <f>COUNTIF(KDL[Deeln. jeugdkoningschieten],"x")</f>
        <v>9</v>
      </c>
      <c r="G27" s="16">
        <f>COUNTIF(KDL[Maj. Senioren jureren bij mars],"x")</f>
        <v>0</v>
      </c>
      <c r="H27" s="16">
        <f>COUNTIF(KDL[Maj. Jeugd jureren bij mars],"x")</f>
        <v>0</v>
      </c>
      <c r="I27" s="1">
        <f>SUBTOTAL(103,KDL[Korps senioren])</f>
        <v>14</v>
      </c>
      <c r="J27" s="1">
        <f>SUBTOTAL(103,KDL[Junioren korps 1])</f>
        <v>9</v>
      </c>
      <c r="K27" s="1">
        <f>SUBTOTAL(103,KDL[Junioren korps 2])</f>
        <v>0</v>
      </c>
      <c r="L27" s="1">
        <f>SUBTOTAL(103,KDL[Aspiranten korps 1])</f>
        <v>8</v>
      </c>
      <c r="M27" s="1">
        <f>SUBTOTAL(103,KDL[Aspiranten korps 2])</f>
        <v>3</v>
      </c>
      <c r="N27" s="1">
        <f>SUBTOTAL(103,KDL[Acrobatisch senioren])</f>
        <v>3</v>
      </c>
      <c r="O27" s="1">
        <f>SUBTOTAL(103,KDL[Acrobatisch junioren])</f>
        <v>2</v>
      </c>
      <c r="P27" s="1">
        <f>SUBTOTAL(103,KDL[Acrobatisch aspiranten])</f>
        <v>0</v>
      </c>
      <c r="T27" s="79">
        <f>SUBTOTAL(109,KDL[Senioren indiv.])</f>
        <v>8</v>
      </c>
      <c r="U27" s="79">
        <f>SUBTOTAL(109,KDL[Junioren indiv.])</f>
        <v>5</v>
      </c>
      <c r="V27" s="1">
        <f>SUBTOTAL(109,KDL[Aspiranten indiv.])</f>
        <v>2</v>
      </c>
      <c r="W27" s="1">
        <f>SUBTOTAL(109,KDL[Sen. ind opgegeven namen])</f>
        <v>7</v>
      </c>
      <c r="X27" s="1">
        <f>SUBTOTAL(109,KDL[Jun. ind opgegeven namen])</f>
        <v>5</v>
      </c>
      <c r="Y27" s="1">
        <f>SUBTOTAL(109,KDL[Asp. ind opgegeven namen])</f>
        <v>2</v>
      </c>
      <c r="Z27" s="16">
        <f>COUNTIF(KDL[Hoofdkorps],"x")</f>
        <v>0</v>
      </c>
      <c r="AA27" s="117">
        <f>COUNTIF(KDL[2e korps],"x")</f>
        <v>0</v>
      </c>
      <c r="AB27" s="1">
        <f>SUBTOTAL(109,KDL[Groepen, teams, ensembles en duo''s])</f>
        <v>0</v>
      </c>
      <c r="AC27" s="1">
        <f>SUBTOTAL(109,KDL[Senioren])</f>
        <v>32</v>
      </c>
      <c r="AD27" s="1">
        <f>SUBTOTAL(109,KDL[Jong volwassene])</f>
        <v>1</v>
      </c>
      <c r="AE27" s="1">
        <f>SUBTOTAL(109,KDL[Junioren])</f>
        <v>3</v>
      </c>
      <c r="AF27" s="1">
        <f>SUBTOTAL(109,KDL[Aspiranten])</f>
        <v>0</v>
      </c>
      <c r="AG27" s="1">
        <f>SUBTOTAL(109,KDL[Opgegeven senioren])</f>
        <v>32</v>
      </c>
      <c r="AH27" s="1">
        <f>SUBTOTAL(109,KDL[Opgegeven jong volwassene])</f>
        <v>1</v>
      </c>
      <c r="AI27" s="1">
        <f>SUBTOTAL(109,KDL[Opgegeven junioren])</f>
        <v>3</v>
      </c>
      <c r="AJ27" s="1">
        <f>SUBTOTAL(109,KDL[Opgegeven aspiranten])</f>
        <v>0</v>
      </c>
      <c r="AK27" s="1">
        <f>COUNTIF(KDL[Marketentsters],"x")</f>
        <v>5</v>
      </c>
      <c r="AL27" s="1">
        <f>COUNTIF(KDL[Luchtgeweer],"x")</f>
        <v>13</v>
      </c>
      <c r="AM27" s="1">
        <f>SUBTOTAL(109,KDL[Aantal luchtgeweerschutters])</f>
        <v>70</v>
      </c>
      <c r="AN27" s="1">
        <f>COUNTIF(KDL[Luchtpistool],"x")</f>
        <v>12</v>
      </c>
      <c r="AO27" s="1">
        <f>SUBTOTAL(109,KDL[Aantal luchtpistoolschutters])</f>
        <v>60</v>
      </c>
      <c r="AP27" s="1">
        <f>COUNTIF(KDL[Handboog],"x")</f>
        <v>0</v>
      </c>
      <c r="AQ27" s="1">
        <f>SUBTOTAL(109,KDL[Aantal handboogschutters])</f>
        <v>0</v>
      </c>
      <c r="AR27" s="1">
        <f>COUNTIF(KDL[Kruisboog],"x")</f>
        <v>10</v>
      </c>
      <c r="AS27" s="1">
        <f>SUBTOTAL(109,KDL[Aantal kruisboogschutters])</f>
        <v>54</v>
      </c>
      <c r="AT27" s="1">
        <f>COUNTIF(KDL[Luchtgeweer jeugd niet ouder dan 17 jaar.],"x")</f>
        <v>5</v>
      </c>
      <c r="AU27" s="1">
        <f>SUBTOTAL(109,KDL[Aantal korpsen])</f>
        <v>9</v>
      </c>
      <c r="AV27" s="1">
        <f>SUBTOTAL(109,KDL[Opgegeven jeugdkorpsen LG])</f>
        <v>1</v>
      </c>
      <c r="AW27" s="1">
        <f>SUBTOTAL(109,KDL[Totaal aantal deelnemers])</f>
        <v>1220</v>
      </c>
      <c r="AX27" s="1">
        <f>SUBTOTAL(109,KDL[Waarvan aantal jeugd (t/m 15 jaar)])</f>
        <v>167</v>
      </c>
      <c r="AY27" s="84">
        <f>COUNTIF(KDL[Kanon etc.],"x")</f>
        <v>8</v>
      </c>
      <c r="AZ27" s="1">
        <f>COUNTIF(KDL[Paarden en/of koetsen],"x")</f>
        <v>6</v>
      </c>
      <c r="BA27" s="63"/>
      <c r="BB27" s="1"/>
      <c r="BC27" s="1"/>
      <c r="BD27" s="1"/>
      <c r="BE27" s="1"/>
      <c r="BF27" s="1"/>
      <c r="BG27" s="1"/>
      <c r="BH27" s="1"/>
      <c r="BI27" s="1"/>
      <c r="BJ27" s="1"/>
      <c r="BK27" s="1"/>
      <c r="BL27" s="1"/>
      <c r="BM27" s="1"/>
      <c r="BN27" s="1"/>
      <c r="BO27" s="1"/>
      <c r="BP27" s="1"/>
      <c r="BQ27" s="1"/>
      <c r="BR27" s="1"/>
      <c r="BS27" s="1"/>
      <c r="BT27" s="1"/>
      <c r="BU27" s="1"/>
      <c r="BV27" s="1"/>
      <c r="BW27" s="1">
        <f>SUBTOTAL(109,KDL[Aantal opgegeven majorettes])</f>
        <v>0</v>
      </c>
    </row>
  </sheetData>
  <mergeCells count="14">
    <mergeCell ref="A1:BW1"/>
    <mergeCell ref="A2:BW2"/>
    <mergeCell ref="N4:P4"/>
    <mergeCell ref="Q4:S4"/>
    <mergeCell ref="T4:Y4"/>
    <mergeCell ref="BE4:BK4"/>
    <mergeCell ref="BL4:BR4"/>
    <mergeCell ref="AL3:AV3"/>
    <mergeCell ref="BE3:BR3"/>
    <mergeCell ref="D3:H3"/>
    <mergeCell ref="I3:Y3"/>
    <mergeCell ref="Z3:AA3"/>
    <mergeCell ref="BS3:BW3"/>
    <mergeCell ref="AW3:BD3"/>
  </mergeCells>
  <phoneticPr fontId="2" type="noConversion"/>
  <conditionalFormatting sqref="W6:W26">
    <cfRule type="expression" dxfId="34" priority="6">
      <formula>$T6-$W6&lt;&gt;0</formula>
    </cfRule>
  </conditionalFormatting>
  <conditionalFormatting sqref="X6:X26">
    <cfRule type="expression" dxfId="33" priority="7">
      <formula>$U6-$X6&lt;&gt;0</formula>
    </cfRule>
  </conditionalFormatting>
  <conditionalFormatting sqref="Y6:Y26">
    <cfRule type="expression" dxfId="32" priority="8">
      <formula>$V6-$Y6&lt;&gt;0</formula>
    </cfRule>
  </conditionalFormatting>
  <conditionalFormatting sqref="AG6:AG26">
    <cfRule type="expression" dxfId="31" priority="5">
      <formula>$AC6-$AG6&lt;&gt;0</formula>
    </cfRule>
  </conditionalFormatting>
  <conditionalFormatting sqref="AH6:AH26">
    <cfRule type="expression" dxfId="30" priority="4">
      <formula>$AD6-$AH6&lt;&gt;0</formula>
    </cfRule>
  </conditionalFormatting>
  <conditionalFormatting sqref="AI6:AI26">
    <cfRule type="expression" dxfId="29" priority="3">
      <formula>$AE6-$AI6&lt;&gt;0</formula>
    </cfRule>
  </conditionalFormatting>
  <conditionalFormatting sqref="AJ6:AJ26">
    <cfRule type="expression" dxfId="28" priority="2">
      <formula>$AF6-$AJ6&lt;&gt;0</formula>
    </cfRule>
  </conditionalFormatting>
  <conditionalFormatting sqref="AV6:AV26">
    <cfRule type="expression" dxfId="27" priority="1">
      <formula>$AU6-$AV6&lt;&gt;0</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40E9-934D-46C6-9E7F-C57A0A7E69F5}">
  <dimension ref="A1:DA32"/>
  <sheetViews>
    <sheetView zoomScale="110" zoomScaleNormal="110" workbookViewId="0">
      <pane xSplit="3" ySplit="6" topLeftCell="AU32" activePane="bottomRight" state="frozen"/>
      <selection pane="topRight" activeCell="D1" sqref="D1"/>
      <selection pane="bottomLeft" activeCell="A7" sqref="A7"/>
      <selection pane="bottomRight" activeCell="A34" sqref="A34:XFD49"/>
    </sheetView>
  </sheetViews>
  <sheetFormatPr baseColWidth="10" defaultColWidth="9.1640625" defaultRowHeight="15" x14ac:dyDescent="0.2"/>
  <cols>
    <col min="1" max="1" width="10.33203125" bestFit="1" customWidth="1"/>
    <col min="2" max="2" width="8.6640625" bestFit="1" customWidth="1"/>
    <col min="3" max="3" width="38.1640625" bestFit="1" customWidth="1"/>
    <col min="4" max="4" width="3.5" style="1" bestFit="1" customWidth="1"/>
    <col min="5" max="16" width="8.5" style="1" bestFit="1" customWidth="1"/>
    <col min="17" max="19" width="7.6640625" style="1" hidden="1" customWidth="1"/>
    <col min="20" max="26" width="8.5" style="1" bestFit="1" customWidth="1"/>
    <col min="27" max="27" width="7.6640625" style="1" hidden="1" customWidth="1"/>
    <col min="28" max="32" width="8.5" style="1" bestFit="1" customWidth="1"/>
    <col min="33" max="36" width="3.5" style="1" bestFit="1" customWidth="1"/>
    <col min="37" max="38" width="8.5" style="1" bestFit="1" customWidth="1"/>
    <col min="39" max="39" width="3.5" bestFit="1" customWidth="1"/>
    <col min="40" max="40" width="8.5" style="1" bestFit="1" customWidth="1"/>
    <col min="41" max="41" width="3.5" style="1" bestFit="1" customWidth="1"/>
    <col min="42" max="42" width="8.5" style="1" bestFit="1" customWidth="1"/>
    <col min="43" max="43" width="3.5" bestFit="1" customWidth="1"/>
    <col min="44" max="44" width="8.5" style="61" bestFit="1" customWidth="1"/>
    <col min="45" max="45" width="3.5" bestFit="1" customWidth="1"/>
    <col min="46" max="48" width="8.5" style="1" bestFit="1" customWidth="1"/>
    <col min="49" max="49" width="8.5" style="63" bestFit="1" customWidth="1"/>
    <col min="50" max="50" width="8.5" style="1" bestFit="1" customWidth="1"/>
    <col min="51" max="52" width="8.5" bestFit="1" customWidth="1"/>
    <col min="53" max="53" width="44.33203125" bestFit="1" customWidth="1"/>
    <col min="54" max="54" width="8.5" bestFit="1" customWidth="1"/>
    <col min="55" max="56" width="15" bestFit="1" customWidth="1"/>
    <col min="57" max="57" width="25.1640625" bestFit="1" customWidth="1"/>
    <col min="58" max="58" width="8.5" bestFit="1" customWidth="1"/>
    <col min="59" max="60" width="31" bestFit="1" customWidth="1"/>
    <col min="61" max="61" width="20.6640625" bestFit="1" customWidth="1"/>
    <col min="62" max="62" width="25.33203125" bestFit="1" customWidth="1"/>
    <col min="63" max="63" width="8.5" bestFit="1" customWidth="1"/>
    <col min="64" max="70" width="8.33203125" hidden="1" customWidth="1"/>
    <col min="71" max="71" width="8.5" bestFit="1" customWidth="1"/>
    <col min="72" max="72" width="42.83203125" bestFit="1" customWidth="1"/>
    <col min="73" max="73" width="44.33203125" bestFit="1" customWidth="1"/>
    <col min="74" max="74" width="39.33203125" bestFit="1" customWidth="1"/>
    <col min="75" max="75" width="8.5" bestFit="1" customWidth="1"/>
    <col min="76" max="76" width="10.6640625" bestFit="1" customWidth="1"/>
    <col min="77" max="77" width="7.5" bestFit="1" customWidth="1"/>
    <col min="78" max="78" width="28.83203125" bestFit="1" customWidth="1"/>
    <col min="79" max="79" width="8.5" customWidth="1"/>
    <col min="80" max="80" width="8" bestFit="1" customWidth="1"/>
    <col min="81" max="81" width="8.33203125" bestFit="1" customWidth="1"/>
    <col min="82" max="83" width="7.6640625" bestFit="1" customWidth="1"/>
    <col min="84" max="87" width="7.6640625" customWidth="1"/>
    <col min="88" max="94" width="7.6640625" style="1" customWidth="1"/>
    <col min="95" max="95" width="10.1640625" style="1" bestFit="1" customWidth="1"/>
    <col min="96" max="96" width="33" style="1" bestFit="1" customWidth="1"/>
    <col min="97" max="97" width="10.1640625" style="1" bestFit="1" customWidth="1"/>
    <col min="98" max="101" width="6.83203125" style="1" bestFit="1" customWidth="1"/>
    <col min="102" max="102" width="15.6640625" style="1" bestFit="1" customWidth="1"/>
  </cols>
  <sheetData>
    <row r="1" spans="1:105" ht="27" customHeight="1" x14ac:dyDescent="0.2">
      <c r="A1" s="148" t="s">
        <v>82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72"/>
      <c r="CM1" s="72"/>
      <c r="CN1" s="72"/>
      <c r="CO1" s="72"/>
      <c r="CP1" s="72"/>
      <c r="CQ1" s="72"/>
      <c r="CR1" s="72"/>
      <c r="CS1" s="72"/>
      <c r="CT1" s="72"/>
      <c r="CU1" s="72"/>
      <c r="CV1" s="72"/>
      <c r="CW1" s="72"/>
      <c r="CX1" s="72"/>
    </row>
    <row r="2" spans="1:105" ht="20" thickBot="1" x14ac:dyDescent="0.3">
      <c r="A2" s="149" t="s">
        <v>141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73"/>
      <c r="CM2" s="73"/>
      <c r="CN2" s="73"/>
      <c r="CO2" s="73"/>
      <c r="CP2" s="73"/>
      <c r="CQ2" s="73"/>
      <c r="CR2" s="73"/>
      <c r="CS2" s="73"/>
      <c r="CT2" s="73"/>
      <c r="CU2" s="73"/>
      <c r="CV2" s="73"/>
      <c r="CW2" s="73"/>
      <c r="CX2" s="73"/>
    </row>
    <row r="3" spans="1:105" ht="16" thickBot="1" x14ac:dyDescent="0.25">
      <c r="A3" s="20"/>
      <c r="B3" s="21"/>
      <c r="C3" s="22"/>
      <c r="D3" s="139" t="s">
        <v>1</v>
      </c>
      <c r="E3" s="140"/>
      <c r="F3" s="140"/>
      <c r="G3" s="140"/>
      <c r="H3" s="141"/>
      <c r="I3" s="142" t="s">
        <v>2</v>
      </c>
      <c r="J3" s="143"/>
      <c r="K3" s="143"/>
      <c r="L3" s="143"/>
      <c r="M3" s="143"/>
      <c r="N3" s="143"/>
      <c r="O3" s="143"/>
      <c r="P3" s="143"/>
      <c r="Q3" s="143"/>
      <c r="R3" s="143"/>
      <c r="S3" s="143"/>
      <c r="T3" s="143"/>
      <c r="U3" s="143"/>
      <c r="V3" s="143"/>
      <c r="W3" s="143"/>
      <c r="X3" s="143"/>
      <c r="Y3" s="144"/>
      <c r="Z3" s="139" t="s">
        <v>3</v>
      </c>
      <c r="AA3" s="141"/>
      <c r="AB3" s="26" t="s">
        <v>4</v>
      </c>
      <c r="AC3" s="93" t="s">
        <v>5</v>
      </c>
      <c r="AD3" s="94"/>
      <c r="AE3" s="94"/>
      <c r="AF3" s="94"/>
      <c r="AG3" s="94"/>
      <c r="AH3" s="94"/>
      <c r="AI3" s="94"/>
      <c r="AJ3" s="95"/>
      <c r="AK3" s="26" t="s">
        <v>6</v>
      </c>
      <c r="AL3" s="139" t="s">
        <v>7</v>
      </c>
      <c r="AM3" s="140"/>
      <c r="AN3" s="140"/>
      <c r="AO3" s="140"/>
      <c r="AP3" s="140"/>
      <c r="AQ3" s="140"/>
      <c r="AR3" s="140"/>
      <c r="AS3" s="140"/>
      <c r="AT3" s="140"/>
      <c r="AU3" s="140"/>
      <c r="AV3" s="141"/>
      <c r="AW3" s="153" t="s">
        <v>8</v>
      </c>
      <c r="AX3" s="154"/>
      <c r="AY3" s="154"/>
      <c r="AZ3" s="154"/>
      <c r="BA3" s="154"/>
      <c r="BB3" s="154"/>
      <c r="BC3" s="154"/>
      <c r="BD3" s="155"/>
      <c r="BE3" s="142" t="s">
        <v>9</v>
      </c>
      <c r="BF3" s="143"/>
      <c r="BG3" s="143"/>
      <c r="BH3" s="143"/>
      <c r="BI3" s="143"/>
      <c r="BJ3" s="143"/>
      <c r="BK3" s="143"/>
      <c r="BL3" s="143"/>
      <c r="BM3" s="143"/>
      <c r="BN3" s="143"/>
      <c r="BO3" s="143"/>
      <c r="BP3" s="143"/>
      <c r="BQ3" s="143"/>
      <c r="BR3" s="143"/>
      <c r="BS3" s="145" t="s">
        <v>10</v>
      </c>
      <c r="BT3" s="146"/>
      <c r="BU3" s="146"/>
      <c r="BV3" s="146"/>
      <c r="BW3" s="146"/>
      <c r="BX3" s="146"/>
      <c r="BY3" s="146"/>
      <c r="BZ3" s="146"/>
      <c r="CA3" s="146"/>
      <c r="CB3" s="146"/>
      <c r="CC3" s="146"/>
      <c r="CD3" s="146"/>
      <c r="CE3" s="146"/>
      <c r="CF3" s="34"/>
      <c r="CG3" s="34"/>
      <c r="CH3" s="34"/>
      <c r="CI3" s="34"/>
      <c r="CJ3" s="34"/>
      <c r="CK3" s="34"/>
      <c r="CL3"/>
      <c r="CM3"/>
      <c r="CN3"/>
      <c r="CO3"/>
      <c r="CP3"/>
      <c r="CQ3"/>
      <c r="CR3"/>
      <c r="CS3"/>
      <c r="CT3"/>
      <c r="CU3"/>
      <c r="CV3"/>
      <c r="CW3"/>
      <c r="CX3"/>
    </row>
    <row r="4" spans="1:105" ht="16" thickBot="1" x14ac:dyDescent="0.25">
      <c r="A4" s="23"/>
      <c r="B4" s="24"/>
      <c r="C4" s="25"/>
      <c r="D4" s="23"/>
      <c r="E4" s="24"/>
      <c r="F4" s="24"/>
      <c r="G4" s="24"/>
      <c r="H4" s="25"/>
      <c r="I4" s="86" t="s">
        <v>11</v>
      </c>
      <c r="J4" s="87"/>
      <c r="K4" s="87"/>
      <c r="L4" s="108"/>
      <c r="M4" s="88"/>
      <c r="N4" s="142" t="s">
        <v>88</v>
      </c>
      <c r="O4" s="143"/>
      <c r="P4" s="144"/>
      <c r="Q4" s="142" t="s">
        <v>13</v>
      </c>
      <c r="R4" s="143"/>
      <c r="S4" s="144"/>
      <c r="T4" s="142" t="s">
        <v>14</v>
      </c>
      <c r="U4" s="143"/>
      <c r="V4" s="143"/>
      <c r="W4" s="143"/>
      <c r="X4" s="143"/>
      <c r="Y4" s="144"/>
      <c r="Z4" s="23"/>
      <c r="AA4" s="25"/>
      <c r="AB4" s="27"/>
      <c r="AC4" s="23"/>
      <c r="AD4" s="24"/>
      <c r="AE4" s="24"/>
      <c r="AF4" s="24"/>
      <c r="AG4" s="24"/>
      <c r="AH4" s="24"/>
      <c r="AI4" s="24"/>
      <c r="AJ4" s="25"/>
      <c r="AK4" s="27"/>
      <c r="AL4" s="23"/>
      <c r="AM4" s="97"/>
      <c r="AN4" s="24"/>
      <c r="AO4" s="24"/>
      <c r="AP4" s="24"/>
      <c r="AQ4" s="97"/>
      <c r="AR4" s="24"/>
      <c r="AS4" s="24"/>
      <c r="AT4" s="24"/>
      <c r="AU4" s="24"/>
      <c r="AV4" s="25"/>
      <c r="AW4" s="23"/>
      <c r="AX4" s="24"/>
      <c r="AY4" s="24"/>
      <c r="AZ4" s="24"/>
      <c r="BA4" s="62"/>
      <c r="BB4" s="24"/>
      <c r="BC4" s="24"/>
      <c r="BD4" s="25"/>
      <c r="BE4" s="142" t="s">
        <v>15</v>
      </c>
      <c r="BF4" s="143"/>
      <c r="BG4" s="143"/>
      <c r="BH4" s="143"/>
      <c r="BI4" s="143"/>
      <c r="BJ4" s="143"/>
      <c r="BK4" s="144"/>
      <c r="BL4" s="142" t="s">
        <v>16</v>
      </c>
      <c r="BM4" s="143"/>
      <c r="BN4" s="143"/>
      <c r="BO4" s="143"/>
      <c r="BP4" s="143"/>
      <c r="BQ4" s="143"/>
      <c r="BR4" s="144"/>
      <c r="BS4" s="97"/>
      <c r="BT4" s="97"/>
      <c r="BU4" s="97"/>
      <c r="BV4" s="97"/>
      <c r="BW4" s="97"/>
      <c r="BX4" s="97"/>
      <c r="BY4" s="97"/>
      <c r="BZ4" s="97"/>
      <c r="CA4" s="97"/>
      <c r="CB4" s="97"/>
      <c r="CC4" s="97"/>
      <c r="CD4" s="97"/>
      <c r="CE4" s="98"/>
      <c r="CF4" s="80"/>
      <c r="CG4" s="80"/>
      <c r="CH4" s="34"/>
      <c r="CI4" s="34"/>
      <c r="CJ4" s="34"/>
      <c r="CK4" s="34"/>
      <c r="CL4" s="34"/>
      <c r="CM4" s="34"/>
      <c r="CN4"/>
      <c r="CO4"/>
      <c r="CP4"/>
      <c r="CQ4"/>
      <c r="CR4"/>
      <c r="CS4"/>
      <c r="CT4"/>
      <c r="CU4"/>
      <c r="CV4"/>
      <c r="CW4"/>
      <c r="CX4"/>
    </row>
    <row r="5" spans="1:105" ht="6.75" customHeight="1" thickBot="1" x14ac:dyDescent="0.25">
      <c r="AR5" s="63"/>
      <c r="AS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Y5" s="1"/>
      <c r="CZ5" s="1"/>
      <c r="DA5" s="1"/>
    </row>
    <row r="6" spans="1:105" s="2" customFormat="1" ht="213"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2" t="s">
        <v>112</v>
      </c>
      <c r="AH6" s="92" t="s">
        <v>113</v>
      </c>
      <c r="AI6" s="92" t="s">
        <v>114</v>
      </c>
      <c r="AJ6" s="99" t="s">
        <v>115</v>
      </c>
      <c r="AK6" s="14" t="s">
        <v>41</v>
      </c>
      <c r="AL6" s="9" t="s">
        <v>42</v>
      </c>
      <c r="AM6" s="92" t="s">
        <v>122</v>
      </c>
      <c r="AN6" s="10" t="s">
        <v>43</v>
      </c>
      <c r="AO6" s="92" t="s">
        <v>123</v>
      </c>
      <c r="AP6" s="10" t="s">
        <v>45</v>
      </c>
      <c r="AQ6" s="92" t="s">
        <v>124</v>
      </c>
      <c r="AR6" s="10" t="s">
        <v>44</v>
      </c>
      <c r="AS6" s="92" t="s">
        <v>125</v>
      </c>
      <c r="AT6" s="10" t="s">
        <v>116</v>
      </c>
      <c r="AU6" s="10" t="s">
        <v>117</v>
      </c>
      <c r="AV6" s="120" t="s">
        <v>118</v>
      </c>
      <c r="AW6" s="9" t="s">
        <v>46</v>
      </c>
      <c r="AX6" s="10" t="s">
        <v>47</v>
      </c>
      <c r="AY6" s="10" t="s">
        <v>48</v>
      </c>
      <c r="AZ6" s="10" t="s">
        <v>49</v>
      </c>
      <c r="BA6" s="96"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c r="BX6" t="s">
        <v>341</v>
      </c>
    </row>
    <row r="7" spans="1:105" ht="16" x14ac:dyDescent="0.2">
      <c r="A7" t="s">
        <v>135</v>
      </c>
      <c r="B7" t="s">
        <v>354</v>
      </c>
      <c r="C7" t="s">
        <v>355</v>
      </c>
      <c r="D7" s="1" t="s">
        <v>73</v>
      </c>
      <c r="E7" s="1" t="s">
        <v>72</v>
      </c>
      <c r="F7" s="1" t="s">
        <v>72</v>
      </c>
      <c r="G7" s="1" t="s">
        <v>73</v>
      </c>
      <c r="I7" s="1">
        <v>5</v>
      </c>
      <c r="J7"/>
      <c r="K7"/>
      <c r="M7"/>
      <c r="Q7" s="1" t="s">
        <v>73</v>
      </c>
      <c r="R7" s="1" t="s">
        <v>73</v>
      </c>
      <c r="S7" s="1" t="s">
        <v>73</v>
      </c>
      <c r="T7"/>
      <c r="U7"/>
      <c r="V7"/>
      <c r="W7"/>
      <c r="X7"/>
      <c r="Y7"/>
      <c r="Z7" s="1" t="s">
        <v>73</v>
      </c>
      <c r="AA7" s="1" t="s">
        <v>73</v>
      </c>
      <c r="AB7"/>
      <c r="AC7"/>
      <c r="AD7"/>
      <c r="AE7"/>
      <c r="AF7"/>
      <c r="AG7"/>
      <c r="AH7"/>
      <c r="AI7"/>
      <c r="AJ7"/>
      <c r="AK7" s="1" t="s">
        <v>73</v>
      </c>
      <c r="AL7" s="1" t="s">
        <v>72</v>
      </c>
      <c r="AM7">
        <v>6</v>
      </c>
      <c r="AN7" s="1" t="s">
        <v>73</v>
      </c>
      <c r="AO7"/>
      <c r="AP7" s="1" t="s">
        <v>73</v>
      </c>
      <c r="AR7" s="1" t="s">
        <v>72</v>
      </c>
      <c r="AS7">
        <v>6</v>
      </c>
      <c r="AT7" s="1" t="s">
        <v>73</v>
      </c>
      <c r="AW7" s="1">
        <v>25</v>
      </c>
      <c r="AX7" s="1">
        <v>1</v>
      </c>
      <c r="AY7" t="s">
        <v>73</v>
      </c>
      <c r="AZ7" t="s">
        <v>73</v>
      </c>
      <c r="BA7" s="61" t="s">
        <v>73</v>
      </c>
      <c r="BB7">
        <v>1984</v>
      </c>
      <c r="BC7" s="85">
        <v>45657.489976851852</v>
      </c>
      <c r="BD7" s="85">
        <v>45657.448310185187</v>
      </c>
      <c r="BE7" t="s">
        <v>73</v>
      </c>
      <c r="BF7" t="s">
        <v>73</v>
      </c>
      <c r="BG7" t="s">
        <v>73</v>
      </c>
      <c r="BH7" t="s">
        <v>73</v>
      </c>
      <c r="BI7" t="s">
        <v>73</v>
      </c>
      <c r="BJ7" t="s">
        <v>73</v>
      </c>
      <c r="BL7" t="s">
        <v>73</v>
      </c>
      <c r="BM7" t="s">
        <v>73</v>
      </c>
      <c r="BN7" t="s">
        <v>73</v>
      </c>
      <c r="BO7" t="s">
        <v>73</v>
      </c>
      <c r="BP7" t="s">
        <v>73</v>
      </c>
      <c r="BQ7" s="1" t="s">
        <v>73</v>
      </c>
      <c r="BS7" s="1" t="s">
        <v>73</v>
      </c>
      <c r="BT7" s="1" t="s">
        <v>369</v>
      </c>
      <c r="BU7" s="1" t="s">
        <v>369</v>
      </c>
      <c r="BV7" s="1" t="s">
        <v>369</v>
      </c>
      <c r="BX7" t="s">
        <v>73</v>
      </c>
      <c r="BY7" s="1"/>
      <c r="CJ7"/>
      <c r="CK7"/>
      <c r="CL7"/>
      <c r="CM7"/>
      <c r="CN7"/>
      <c r="CO7"/>
      <c r="CP7"/>
      <c r="CQ7"/>
      <c r="CR7"/>
      <c r="CS7"/>
      <c r="CT7"/>
      <c r="CU7"/>
      <c r="CV7"/>
      <c r="CW7"/>
      <c r="CX7"/>
    </row>
    <row r="8" spans="1:105" ht="16" x14ac:dyDescent="0.2">
      <c r="A8" t="s">
        <v>135</v>
      </c>
      <c r="B8" t="s">
        <v>326</v>
      </c>
      <c r="C8" t="s">
        <v>327</v>
      </c>
      <c r="D8" s="1" t="s">
        <v>73</v>
      </c>
      <c r="E8" s="1" t="s">
        <v>72</v>
      </c>
      <c r="F8" s="1" t="s">
        <v>72</v>
      </c>
      <c r="G8" s="1" t="s">
        <v>72</v>
      </c>
      <c r="H8" s="1" t="s">
        <v>74</v>
      </c>
      <c r="I8" s="1">
        <v>7</v>
      </c>
      <c r="J8"/>
      <c r="K8"/>
      <c r="M8"/>
      <c r="N8" s="1">
        <v>7</v>
      </c>
      <c r="Q8" s="1" t="s">
        <v>73</v>
      </c>
      <c r="R8" s="1" t="s">
        <v>73</v>
      </c>
      <c r="S8" s="1" t="s">
        <v>73</v>
      </c>
      <c r="T8">
        <v>2</v>
      </c>
      <c r="U8"/>
      <c r="V8"/>
      <c r="W8">
        <v>2</v>
      </c>
      <c r="X8"/>
      <c r="Y8"/>
      <c r="Z8" s="1" t="s">
        <v>72</v>
      </c>
      <c r="AA8" s="1" t="s">
        <v>73</v>
      </c>
      <c r="AB8">
        <v>4</v>
      </c>
      <c r="AC8">
        <v>1</v>
      </c>
      <c r="AD8"/>
      <c r="AE8"/>
      <c r="AF8"/>
      <c r="AG8">
        <v>1</v>
      </c>
      <c r="AH8"/>
      <c r="AI8"/>
      <c r="AJ8"/>
      <c r="AK8" s="1" t="s">
        <v>73</v>
      </c>
      <c r="AL8" s="1" t="s">
        <v>72</v>
      </c>
      <c r="AM8">
        <v>6</v>
      </c>
      <c r="AN8" s="1" t="s">
        <v>72</v>
      </c>
      <c r="AO8">
        <v>3</v>
      </c>
      <c r="AP8" s="1" t="s">
        <v>72</v>
      </c>
      <c r="AQ8">
        <v>6</v>
      </c>
      <c r="AR8" s="1" t="s">
        <v>73</v>
      </c>
      <c r="AT8" s="1" t="s">
        <v>73</v>
      </c>
      <c r="AW8" s="1">
        <v>33</v>
      </c>
      <c r="AX8" s="1">
        <v>0</v>
      </c>
      <c r="AY8" t="s">
        <v>73</v>
      </c>
      <c r="AZ8" t="s">
        <v>73</v>
      </c>
      <c r="BA8" s="61" t="s">
        <v>73</v>
      </c>
      <c r="BB8">
        <v>1965</v>
      </c>
      <c r="BC8" s="85">
        <v>45655.548738425925</v>
      </c>
      <c r="BD8" s="85">
        <v>45655.507071759261</v>
      </c>
      <c r="BE8" t="s">
        <v>327</v>
      </c>
      <c r="BF8" t="s">
        <v>78</v>
      </c>
      <c r="BG8" t="s">
        <v>215</v>
      </c>
      <c r="BH8" t="s">
        <v>77</v>
      </c>
      <c r="BI8" t="s">
        <v>332</v>
      </c>
      <c r="BJ8" t="s">
        <v>333</v>
      </c>
      <c r="BK8">
        <v>20</v>
      </c>
      <c r="BL8" t="s">
        <v>73</v>
      </c>
      <c r="BM8" t="s">
        <v>73</v>
      </c>
      <c r="BN8" t="s">
        <v>73</v>
      </c>
      <c r="BO8" t="s">
        <v>73</v>
      </c>
      <c r="BP8" t="s">
        <v>73</v>
      </c>
      <c r="BQ8" s="1" t="s">
        <v>73</v>
      </c>
      <c r="BS8" s="1" t="s">
        <v>75</v>
      </c>
      <c r="BT8" s="1" t="s">
        <v>387</v>
      </c>
      <c r="BU8" s="1" t="s">
        <v>388</v>
      </c>
      <c r="BV8" s="1" t="s">
        <v>389</v>
      </c>
      <c r="BW8">
        <v>12</v>
      </c>
      <c r="BX8" t="s">
        <v>73</v>
      </c>
      <c r="CJ8"/>
      <c r="CK8"/>
      <c r="CL8"/>
      <c r="CM8"/>
      <c r="CN8"/>
      <c r="CO8"/>
      <c r="CP8"/>
      <c r="CQ8"/>
      <c r="CR8"/>
      <c r="CS8"/>
      <c r="CT8"/>
      <c r="CU8"/>
      <c r="CV8"/>
      <c r="CW8"/>
      <c r="CX8"/>
    </row>
    <row r="9" spans="1:105" ht="16" x14ac:dyDescent="0.2">
      <c r="A9" t="s">
        <v>135</v>
      </c>
      <c r="B9" t="s">
        <v>323</v>
      </c>
      <c r="C9" t="s">
        <v>324</v>
      </c>
      <c r="D9" s="1" t="s">
        <v>73</v>
      </c>
      <c r="E9" s="1" t="s">
        <v>72</v>
      </c>
      <c r="F9" s="1" t="s">
        <v>72</v>
      </c>
      <c r="G9" s="1" t="s">
        <v>73</v>
      </c>
      <c r="I9" s="1">
        <v>3</v>
      </c>
      <c r="J9"/>
      <c r="K9"/>
      <c r="M9"/>
      <c r="Q9" s="1" t="s">
        <v>73</v>
      </c>
      <c r="R9" s="1" t="s">
        <v>73</v>
      </c>
      <c r="S9" s="1" t="s">
        <v>73</v>
      </c>
      <c r="T9"/>
      <c r="U9"/>
      <c r="V9"/>
      <c r="W9"/>
      <c r="X9"/>
      <c r="Y9"/>
      <c r="Z9" s="1" t="s">
        <v>73</v>
      </c>
      <c r="AA9" s="1" t="s">
        <v>73</v>
      </c>
      <c r="AB9"/>
      <c r="AC9"/>
      <c r="AD9"/>
      <c r="AE9"/>
      <c r="AF9"/>
      <c r="AG9"/>
      <c r="AH9"/>
      <c r="AI9"/>
      <c r="AJ9"/>
      <c r="AK9" s="1" t="s">
        <v>73</v>
      </c>
      <c r="AL9" s="1" t="s">
        <v>72</v>
      </c>
      <c r="AM9">
        <v>6</v>
      </c>
      <c r="AN9" s="1" t="s">
        <v>72</v>
      </c>
      <c r="AO9">
        <v>6</v>
      </c>
      <c r="AP9" s="1" t="s">
        <v>73</v>
      </c>
      <c r="AR9" s="1" t="s">
        <v>72</v>
      </c>
      <c r="AS9">
        <v>6</v>
      </c>
      <c r="AT9" s="1" t="s">
        <v>73</v>
      </c>
      <c r="AW9" s="1">
        <v>25</v>
      </c>
      <c r="AX9" s="1">
        <v>0</v>
      </c>
      <c r="AY9" t="s">
        <v>73</v>
      </c>
      <c r="AZ9" t="s">
        <v>73</v>
      </c>
      <c r="BA9" s="61" t="s">
        <v>73</v>
      </c>
      <c r="BB9">
        <v>1961</v>
      </c>
      <c r="BC9" s="85">
        <v>45655.481435185182</v>
      </c>
      <c r="BD9" s="85">
        <v>45655.439768518518</v>
      </c>
      <c r="BE9" t="s">
        <v>73</v>
      </c>
      <c r="BF9" t="s">
        <v>73</v>
      </c>
      <c r="BG9" t="s">
        <v>73</v>
      </c>
      <c r="BH9" t="s">
        <v>73</v>
      </c>
      <c r="BI9" t="s">
        <v>73</v>
      </c>
      <c r="BJ9" t="s">
        <v>73</v>
      </c>
      <c r="BL9" t="s">
        <v>73</v>
      </c>
      <c r="BM9" t="s">
        <v>73</v>
      </c>
      <c r="BN9" t="s">
        <v>73</v>
      </c>
      <c r="BO9" t="s">
        <v>73</v>
      </c>
      <c r="BP9" t="s">
        <v>73</v>
      </c>
      <c r="BQ9" s="1" t="s">
        <v>73</v>
      </c>
      <c r="BS9" s="1" t="s">
        <v>73</v>
      </c>
      <c r="BT9" s="1" t="s">
        <v>369</v>
      </c>
      <c r="BU9" s="1" t="s">
        <v>369</v>
      </c>
      <c r="BV9" s="1" t="s">
        <v>369</v>
      </c>
      <c r="BX9" t="s">
        <v>73</v>
      </c>
      <c r="CC9" s="1"/>
      <c r="CD9" s="1"/>
      <c r="CJ9"/>
      <c r="CK9"/>
      <c r="CL9"/>
      <c r="CM9"/>
      <c r="CN9"/>
      <c r="CO9"/>
      <c r="CP9"/>
      <c r="CQ9"/>
      <c r="CR9"/>
      <c r="CS9"/>
      <c r="CT9"/>
      <c r="CU9"/>
      <c r="CV9"/>
      <c r="CW9"/>
      <c r="CX9"/>
    </row>
    <row r="10" spans="1:105" ht="16" x14ac:dyDescent="0.2">
      <c r="A10" t="s">
        <v>135</v>
      </c>
      <c r="B10" t="s">
        <v>269</v>
      </c>
      <c r="C10" t="s">
        <v>270</v>
      </c>
      <c r="D10" s="1" t="s">
        <v>72</v>
      </c>
      <c r="E10" s="1" t="s">
        <v>73</v>
      </c>
      <c r="F10" s="1" t="s">
        <v>73</v>
      </c>
      <c r="G10" s="1" t="s">
        <v>73</v>
      </c>
      <c r="J10"/>
      <c r="K10"/>
      <c r="M10"/>
      <c r="Q10" s="1" t="s">
        <v>73</v>
      </c>
      <c r="R10" s="1" t="s">
        <v>73</v>
      </c>
      <c r="S10" s="1" t="s">
        <v>73</v>
      </c>
      <c r="T10"/>
      <c r="U10"/>
      <c r="V10"/>
      <c r="W10"/>
      <c r="X10"/>
      <c r="Y10"/>
      <c r="Z10" s="1" t="s">
        <v>73</v>
      </c>
      <c r="AA10" s="1" t="s">
        <v>73</v>
      </c>
      <c r="AB10"/>
      <c r="AC10"/>
      <c r="AD10"/>
      <c r="AE10"/>
      <c r="AF10"/>
      <c r="AG10"/>
      <c r="AH10"/>
      <c r="AI10"/>
      <c r="AJ10"/>
      <c r="AK10" s="1" t="s">
        <v>73</v>
      </c>
      <c r="AL10" s="1" t="s">
        <v>73</v>
      </c>
      <c r="AN10" s="1" t="s">
        <v>73</v>
      </c>
      <c r="AO10"/>
      <c r="AP10" s="1" t="s">
        <v>73</v>
      </c>
      <c r="AR10" s="1" t="s">
        <v>73</v>
      </c>
      <c r="AT10" s="1" t="s">
        <v>73</v>
      </c>
      <c r="AW10" s="1">
        <v>10</v>
      </c>
      <c r="AX10" s="1">
        <v>0</v>
      </c>
      <c r="AY10" t="s">
        <v>73</v>
      </c>
      <c r="AZ10" t="s">
        <v>73</v>
      </c>
      <c r="BA10" s="61" t="s">
        <v>73</v>
      </c>
      <c r="BB10">
        <v>1943</v>
      </c>
      <c r="BC10" s="85">
        <v>45653.471585648149</v>
      </c>
      <c r="BD10" s="85">
        <v>45653.429918981485</v>
      </c>
      <c r="BE10" t="s">
        <v>73</v>
      </c>
      <c r="BF10" t="s">
        <v>73</v>
      </c>
      <c r="BG10" t="s">
        <v>73</v>
      </c>
      <c r="BH10" t="s">
        <v>73</v>
      </c>
      <c r="BI10" t="s">
        <v>73</v>
      </c>
      <c r="BJ10" t="s">
        <v>73</v>
      </c>
      <c r="BL10" t="s">
        <v>73</v>
      </c>
      <c r="BM10" t="s">
        <v>73</v>
      </c>
      <c r="BN10" t="s">
        <v>73</v>
      </c>
      <c r="BO10" t="s">
        <v>73</v>
      </c>
      <c r="BP10" t="s">
        <v>73</v>
      </c>
      <c r="BQ10" s="1" t="s">
        <v>73</v>
      </c>
      <c r="BS10" s="1" t="s">
        <v>73</v>
      </c>
      <c r="BT10" s="1" t="s">
        <v>369</v>
      </c>
      <c r="BU10" s="1" t="s">
        <v>369</v>
      </c>
      <c r="BV10" s="1" t="s">
        <v>369</v>
      </c>
      <c r="BX10" t="s">
        <v>73</v>
      </c>
      <c r="CJ10"/>
      <c r="CK10"/>
      <c r="CL10"/>
      <c r="CM10"/>
      <c r="CN10"/>
      <c r="CO10"/>
      <c r="CP10"/>
      <c r="CQ10"/>
      <c r="CR10"/>
      <c r="CS10"/>
      <c r="CT10"/>
      <c r="CU10"/>
      <c r="CV10"/>
      <c r="CW10"/>
      <c r="CX10"/>
    </row>
    <row r="11" spans="1:105" ht="112" x14ac:dyDescent="0.2">
      <c r="A11" t="s">
        <v>135</v>
      </c>
      <c r="B11" t="s">
        <v>295</v>
      </c>
      <c r="C11" t="s">
        <v>296</v>
      </c>
      <c r="D11" s="1" t="s">
        <v>73</v>
      </c>
      <c r="E11" s="1" t="s">
        <v>72</v>
      </c>
      <c r="F11" s="1" t="s">
        <v>73</v>
      </c>
      <c r="G11" s="1" t="s">
        <v>73</v>
      </c>
      <c r="I11" s="1">
        <v>8</v>
      </c>
      <c r="J11"/>
      <c r="K11"/>
      <c r="M11"/>
      <c r="Q11" s="1" t="s">
        <v>73</v>
      </c>
      <c r="R11" s="1" t="s">
        <v>73</v>
      </c>
      <c r="S11" s="1" t="s">
        <v>73</v>
      </c>
      <c r="T11"/>
      <c r="U11"/>
      <c r="V11"/>
      <c r="W11"/>
      <c r="X11"/>
      <c r="Y11"/>
      <c r="Z11" s="1" t="s">
        <v>73</v>
      </c>
      <c r="AA11" s="1" t="s">
        <v>73</v>
      </c>
      <c r="AB11"/>
      <c r="AC11"/>
      <c r="AD11"/>
      <c r="AE11"/>
      <c r="AF11"/>
      <c r="AG11"/>
      <c r="AH11"/>
      <c r="AI11"/>
      <c r="AJ11"/>
      <c r="AK11" s="1" t="s">
        <v>73</v>
      </c>
      <c r="AL11" s="1" t="s">
        <v>73</v>
      </c>
      <c r="AN11" s="1" t="s">
        <v>73</v>
      </c>
      <c r="AO11"/>
      <c r="AP11" s="1" t="s">
        <v>73</v>
      </c>
      <c r="AR11" s="1" t="s">
        <v>73</v>
      </c>
      <c r="AT11" s="1" t="s">
        <v>73</v>
      </c>
      <c r="AW11" s="1">
        <v>9</v>
      </c>
      <c r="AX11" s="1">
        <v>0</v>
      </c>
      <c r="AY11" t="s">
        <v>73</v>
      </c>
      <c r="AZ11" t="s">
        <v>73</v>
      </c>
      <c r="BA11" s="61" t="s">
        <v>398</v>
      </c>
      <c r="BB11">
        <v>1932</v>
      </c>
      <c r="BC11" s="85">
        <v>45652.580729166664</v>
      </c>
      <c r="BD11" s="85">
        <v>45658.736087962963</v>
      </c>
      <c r="BE11" t="s">
        <v>73</v>
      </c>
      <c r="BF11" t="s">
        <v>73</v>
      </c>
      <c r="BG11" t="s">
        <v>73</v>
      </c>
      <c r="BH11" t="s">
        <v>73</v>
      </c>
      <c r="BI11" t="s">
        <v>73</v>
      </c>
      <c r="BJ11" t="s">
        <v>73</v>
      </c>
      <c r="BL11" t="s">
        <v>73</v>
      </c>
      <c r="BM11" t="s">
        <v>73</v>
      </c>
      <c r="BN11" t="s">
        <v>73</v>
      </c>
      <c r="BO11" t="s">
        <v>73</v>
      </c>
      <c r="BP11" t="s">
        <v>73</v>
      </c>
      <c r="BQ11" s="1" t="s">
        <v>73</v>
      </c>
      <c r="BS11" s="1" t="s">
        <v>73</v>
      </c>
      <c r="BT11" s="1" t="s">
        <v>369</v>
      </c>
      <c r="BU11" s="1" t="s">
        <v>369</v>
      </c>
      <c r="BV11" s="1" t="s">
        <v>369</v>
      </c>
      <c r="BX11" t="s">
        <v>73</v>
      </c>
      <c r="CC11" s="1"/>
      <c r="CD11" s="1"/>
      <c r="CJ11"/>
      <c r="CK11"/>
      <c r="CL11"/>
      <c r="CM11"/>
      <c r="CN11"/>
      <c r="CO11"/>
      <c r="CP11"/>
      <c r="CQ11"/>
      <c r="CR11"/>
      <c r="CS11"/>
      <c r="CT11"/>
      <c r="CU11"/>
      <c r="CV11"/>
      <c r="CW11"/>
      <c r="CX11"/>
    </row>
    <row r="12" spans="1:105" ht="16" x14ac:dyDescent="0.2">
      <c r="A12" t="s">
        <v>135</v>
      </c>
      <c r="B12" t="s">
        <v>288</v>
      </c>
      <c r="C12" t="s">
        <v>289</v>
      </c>
      <c r="D12" s="1" t="s">
        <v>72</v>
      </c>
      <c r="E12" s="1" t="s">
        <v>73</v>
      </c>
      <c r="F12" s="1" t="s">
        <v>73</v>
      </c>
      <c r="G12" s="1" t="s">
        <v>73</v>
      </c>
      <c r="J12"/>
      <c r="K12"/>
      <c r="M12"/>
      <c r="Q12" s="1" t="s">
        <v>73</v>
      </c>
      <c r="R12" s="1" t="s">
        <v>73</v>
      </c>
      <c r="S12" s="1" t="s">
        <v>73</v>
      </c>
      <c r="T12"/>
      <c r="U12"/>
      <c r="V12"/>
      <c r="W12"/>
      <c r="X12"/>
      <c r="Y12"/>
      <c r="Z12" s="1" t="s">
        <v>73</v>
      </c>
      <c r="AA12" s="1" t="s">
        <v>73</v>
      </c>
      <c r="AB12"/>
      <c r="AC12"/>
      <c r="AD12"/>
      <c r="AE12"/>
      <c r="AF12"/>
      <c r="AG12"/>
      <c r="AH12"/>
      <c r="AI12"/>
      <c r="AJ12"/>
      <c r="AK12" s="1" t="s">
        <v>73</v>
      </c>
      <c r="AL12" s="1" t="s">
        <v>73</v>
      </c>
      <c r="AN12" s="1" t="s">
        <v>73</v>
      </c>
      <c r="AO12"/>
      <c r="AP12" s="1" t="s">
        <v>73</v>
      </c>
      <c r="AR12" s="1" t="s">
        <v>73</v>
      </c>
      <c r="AT12" s="1" t="s">
        <v>73</v>
      </c>
      <c r="AW12" s="1">
        <v>10</v>
      </c>
      <c r="AX12" s="1">
        <v>0</v>
      </c>
      <c r="AY12" t="s">
        <v>73</v>
      </c>
      <c r="AZ12" t="s">
        <v>73</v>
      </c>
      <c r="BA12" s="61" t="s">
        <v>73</v>
      </c>
      <c r="BB12">
        <v>1931</v>
      </c>
      <c r="BC12" s="85">
        <v>45652.55159722222</v>
      </c>
      <c r="BD12" s="85">
        <v>45652.509930555556</v>
      </c>
      <c r="BE12" t="s">
        <v>73</v>
      </c>
      <c r="BF12" t="s">
        <v>73</v>
      </c>
      <c r="BG12" t="s">
        <v>73</v>
      </c>
      <c r="BH12" t="s">
        <v>73</v>
      </c>
      <c r="BI12" t="s">
        <v>73</v>
      </c>
      <c r="BJ12" t="s">
        <v>73</v>
      </c>
      <c r="BL12" t="s">
        <v>73</v>
      </c>
      <c r="BM12" t="s">
        <v>73</v>
      </c>
      <c r="BN12" t="s">
        <v>73</v>
      </c>
      <c r="BO12" t="s">
        <v>73</v>
      </c>
      <c r="BP12" t="s">
        <v>73</v>
      </c>
      <c r="BQ12" s="1" t="s">
        <v>73</v>
      </c>
      <c r="BS12" s="1" t="s">
        <v>73</v>
      </c>
      <c r="BT12" s="1" t="s">
        <v>369</v>
      </c>
      <c r="BU12" s="1" t="s">
        <v>369</v>
      </c>
      <c r="BV12" s="1" t="s">
        <v>369</v>
      </c>
      <c r="BX12" t="s">
        <v>73</v>
      </c>
      <c r="CC12" s="1"/>
      <c r="CD12" s="1"/>
      <c r="CJ12"/>
      <c r="CK12"/>
      <c r="CL12"/>
      <c r="CM12"/>
      <c r="CN12"/>
      <c r="CO12"/>
      <c r="CP12"/>
      <c r="CQ12"/>
      <c r="CR12"/>
      <c r="CS12"/>
      <c r="CT12"/>
      <c r="CU12"/>
      <c r="CV12"/>
      <c r="CW12"/>
      <c r="CX12"/>
    </row>
    <row r="13" spans="1:105" ht="16" x14ac:dyDescent="0.2">
      <c r="A13" t="s">
        <v>135</v>
      </c>
      <c r="B13" t="s">
        <v>254</v>
      </c>
      <c r="C13" t="s">
        <v>255</v>
      </c>
      <c r="D13" s="1" t="s">
        <v>73</v>
      </c>
      <c r="E13" s="1" t="s">
        <v>72</v>
      </c>
      <c r="F13" s="1" t="s">
        <v>72</v>
      </c>
      <c r="G13" s="1" t="s">
        <v>73</v>
      </c>
      <c r="I13" s="1">
        <v>6</v>
      </c>
      <c r="J13"/>
      <c r="K13"/>
      <c r="M13"/>
      <c r="Q13" s="1" t="s">
        <v>73</v>
      </c>
      <c r="R13" s="1" t="s">
        <v>73</v>
      </c>
      <c r="S13" s="1" t="s">
        <v>73</v>
      </c>
      <c r="T13"/>
      <c r="U13"/>
      <c r="V13"/>
      <c r="W13"/>
      <c r="X13"/>
      <c r="Y13"/>
      <c r="Z13" s="1" t="s">
        <v>72</v>
      </c>
      <c r="AA13" s="1" t="s">
        <v>73</v>
      </c>
      <c r="AB13"/>
      <c r="AC13"/>
      <c r="AD13"/>
      <c r="AE13"/>
      <c r="AF13"/>
      <c r="AG13"/>
      <c r="AH13"/>
      <c r="AI13"/>
      <c r="AJ13"/>
      <c r="AK13" s="1" t="s">
        <v>73</v>
      </c>
      <c r="AL13" s="1" t="s">
        <v>72</v>
      </c>
      <c r="AM13">
        <v>6</v>
      </c>
      <c r="AN13" s="1" t="s">
        <v>72</v>
      </c>
      <c r="AO13">
        <v>6</v>
      </c>
      <c r="AP13" s="1" t="s">
        <v>73</v>
      </c>
      <c r="AR13" s="1" t="s">
        <v>72</v>
      </c>
      <c r="AS13">
        <v>6</v>
      </c>
      <c r="AT13" s="1" t="s">
        <v>73</v>
      </c>
      <c r="AW13" s="1">
        <v>64</v>
      </c>
      <c r="AX13" s="1">
        <v>4</v>
      </c>
      <c r="AY13" t="s">
        <v>72</v>
      </c>
      <c r="AZ13" t="s">
        <v>73</v>
      </c>
      <c r="BA13" s="61" t="s">
        <v>73</v>
      </c>
      <c r="BB13">
        <v>1919</v>
      </c>
      <c r="BC13" s="85">
        <v>45651.458738425928</v>
      </c>
      <c r="BD13" s="85">
        <v>45651.417071759257</v>
      </c>
      <c r="BE13" t="s">
        <v>255</v>
      </c>
      <c r="BF13" t="s">
        <v>78</v>
      </c>
      <c r="BG13" t="s">
        <v>76</v>
      </c>
      <c r="BH13" t="s">
        <v>77</v>
      </c>
      <c r="BI13" t="s">
        <v>286</v>
      </c>
      <c r="BJ13" t="s">
        <v>287</v>
      </c>
      <c r="BK13">
        <v>43</v>
      </c>
      <c r="BL13" t="s">
        <v>73</v>
      </c>
      <c r="BM13" t="s">
        <v>73</v>
      </c>
      <c r="BN13" t="s">
        <v>73</v>
      </c>
      <c r="BO13" t="s">
        <v>73</v>
      </c>
      <c r="BP13" t="s">
        <v>73</v>
      </c>
      <c r="BQ13" s="1" t="s">
        <v>73</v>
      </c>
      <c r="BS13" s="1" t="s">
        <v>73</v>
      </c>
      <c r="BT13" s="1" t="s">
        <v>369</v>
      </c>
      <c r="BU13" s="1" t="s">
        <v>369</v>
      </c>
      <c r="BV13" s="1" t="s">
        <v>369</v>
      </c>
      <c r="BX13" t="s">
        <v>73</v>
      </c>
      <c r="CC13" s="1"/>
      <c r="CD13" s="1"/>
      <c r="CJ13"/>
      <c r="CK13"/>
      <c r="CL13"/>
      <c r="CM13"/>
      <c r="CN13"/>
      <c r="CO13"/>
      <c r="CP13"/>
      <c r="CQ13"/>
      <c r="CR13"/>
      <c r="CS13"/>
      <c r="CT13"/>
      <c r="CU13"/>
      <c r="CV13"/>
      <c r="CW13"/>
      <c r="CX13"/>
    </row>
    <row r="14" spans="1:105" ht="16" x14ac:dyDescent="0.2">
      <c r="A14" t="s">
        <v>135</v>
      </c>
      <c r="B14" t="s">
        <v>271</v>
      </c>
      <c r="C14" t="s">
        <v>272</v>
      </c>
      <c r="D14" s="1" t="s">
        <v>73</v>
      </c>
      <c r="E14" s="1" t="s">
        <v>72</v>
      </c>
      <c r="F14" s="1" t="s">
        <v>72</v>
      </c>
      <c r="G14" s="1" t="s">
        <v>73</v>
      </c>
      <c r="I14" s="1">
        <v>8</v>
      </c>
      <c r="J14">
        <v>4</v>
      </c>
      <c r="K14"/>
      <c r="L14" s="1">
        <v>2</v>
      </c>
      <c r="M14"/>
      <c r="Q14" s="1" t="s">
        <v>73</v>
      </c>
      <c r="R14" s="1" t="s">
        <v>73</v>
      </c>
      <c r="S14" s="1" t="s">
        <v>73</v>
      </c>
      <c r="T14"/>
      <c r="U14"/>
      <c r="V14"/>
      <c r="W14"/>
      <c r="X14"/>
      <c r="Y14"/>
      <c r="Z14" s="1" t="s">
        <v>73</v>
      </c>
      <c r="AA14" s="1" t="s">
        <v>73</v>
      </c>
      <c r="AB14"/>
      <c r="AC14">
        <v>5</v>
      </c>
      <c r="AD14"/>
      <c r="AE14"/>
      <c r="AF14"/>
      <c r="AG14">
        <v>5</v>
      </c>
      <c r="AH14"/>
      <c r="AI14"/>
      <c r="AJ14"/>
      <c r="AK14" s="1" t="s">
        <v>73</v>
      </c>
      <c r="AL14" s="1" t="s">
        <v>73</v>
      </c>
      <c r="AN14" s="1" t="s">
        <v>73</v>
      </c>
      <c r="AO14"/>
      <c r="AP14" s="1" t="s">
        <v>73</v>
      </c>
      <c r="AR14" s="1" t="s">
        <v>73</v>
      </c>
      <c r="AT14" s="1" t="s">
        <v>73</v>
      </c>
      <c r="AW14" s="1">
        <v>60</v>
      </c>
      <c r="AX14" s="1">
        <v>15</v>
      </c>
      <c r="AY14" t="s">
        <v>73</v>
      </c>
      <c r="AZ14" t="s">
        <v>73</v>
      </c>
      <c r="BA14" s="61" t="s">
        <v>73</v>
      </c>
      <c r="BB14">
        <v>1911</v>
      </c>
      <c r="BC14" s="85">
        <v>45649.735833333332</v>
      </c>
      <c r="BD14" s="85">
        <v>45656.705277777779</v>
      </c>
      <c r="BE14" t="s">
        <v>73</v>
      </c>
      <c r="BF14" t="s">
        <v>73</v>
      </c>
      <c r="BG14" t="s">
        <v>73</v>
      </c>
      <c r="BH14" t="s">
        <v>73</v>
      </c>
      <c r="BI14" t="s">
        <v>73</v>
      </c>
      <c r="BJ14" t="s">
        <v>73</v>
      </c>
      <c r="BL14" t="s">
        <v>73</v>
      </c>
      <c r="BM14" t="s">
        <v>73</v>
      </c>
      <c r="BN14" t="s">
        <v>73</v>
      </c>
      <c r="BO14" t="s">
        <v>73</v>
      </c>
      <c r="BP14" t="s">
        <v>73</v>
      </c>
      <c r="BQ14" s="1" t="s">
        <v>73</v>
      </c>
      <c r="BS14" s="1" t="s">
        <v>73</v>
      </c>
      <c r="BT14" s="1" t="s">
        <v>369</v>
      </c>
      <c r="BU14" s="1" t="s">
        <v>369</v>
      </c>
      <c r="BV14" s="1" t="s">
        <v>369</v>
      </c>
      <c r="BX14" t="s">
        <v>73</v>
      </c>
      <c r="CC14" s="1"/>
      <c r="CD14" s="1"/>
      <c r="CJ14"/>
      <c r="CK14"/>
      <c r="CL14"/>
      <c r="CM14"/>
      <c r="CN14"/>
      <c r="CO14"/>
      <c r="CP14"/>
      <c r="CQ14"/>
      <c r="CR14"/>
      <c r="CS14"/>
      <c r="CT14"/>
      <c r="CU14"/>
      <c r="CV14"/>
      <c r="CW14"/>
      <c r="CX14"/>
    </row>
    <row r="15" spans="1:105" ht="16" x14ac:dyDescent="0.2">
      <c r="A15" t="s">
        <v>135</v>
      </c>
      <c r="B15" t="s">
        <v>185</v>
      </c>
      <c r="C15" t="s">
        <v>133</v>
      </c>
      <c r="D15" s="1" t="s">
        <v>73</v>
      </c>
      <c r="E15" s="1" t="s">
        <v>72</v>
      </c>
      <c r="F15" s="1" t="s">
        <v>73</v>
      </c>
      <c r="G15" s="1" t="s">
        <v>73</v>
      </c>
      <c r="I15" s="1">
        <v>9</v>
      </c>
      <c r="J15">
        <v>3</v>
      </c>
      <c r="K15"/>
      <c r="L15" s="1">
        <v>3</v>
      </c>
      <c r="M15"/>
      <c r="Q15" s="1" t="s">
        <v>73</v>
      </c>
      <c r="R15" s="1" t="s">
        <v>73</v>
      </c>
      <c r="S15" s="1" t="s">
        <v>73</v>
      </c>
      <c r="T15"/>
      <c r="U15"/>
      <c r="V15"/>
      <c r="W15"/>
      <c r="X15"/>
      <c r="Y15"/>
      <c r="Z15" s="1" t="s">
        <v>72</v>
      </c>
      <c r="AA15" s="1" t="s">
        <v>73</v>
      </c>
      <c r="AB15"/>
      <c r="AC15">
        <v>3</v>
      </c>
      <c r="AD15"/>
      <c r="AE15"/>
      <c r="AF15"/>
      <c r="AG15">
        <v>2</v>
      </c>
      <c r="AH15"/>
      <c r="AI15"/>
      <c r="AJ15"/>
      <c r="AK15" s="1" t="s">
        <v>73</v>
      </c>
      <c r="AL15" s="1" t="s">
        <v>72</v>
      </c>
      <c r="AM15">
        <v>6</v>
      </c>
      <c r="AN15" s="1" t="s">
        <v>72</v>
      </c>
      <c r="AO15">
        <v>6</v>
      </c>
      <c r="AP15" s="1" t="s">
        <v>73</v>
      </c>
      <c r="AR15" s="1" t="s">
        <v>72</v>
      </c>
      <c r="AS15">
        <v>6</v>
      </c>
      <c r="AT15" s="1" t="s">
        <v>73</v>
      </c>
      <c r="AW15" s="1">
        <v>68</v>
      </c>
      <c r="AX15" s="1">
        <v>3</v>
      </c>
      <c r="AY15" t="s">
        <v>73</v>
      </c>
      <c r="AZ15" t="s">
        <v>73</v>
      </c>
      <c r="BA15" s="61" t="s">
        <v>73</v>
      </c>
      <c r="BB15">
        <v>1903</v>
      </c>
      <c r="BC15" s="85">
        <v>45649.543437499997</v>
      </c>
      <c r="BD15" s="85">
        <v>45655.579525462963</v>
      </c>
      <c r="BE15" t="s">
        <v>133</v>
      </c>
      <c r="BF15" t="s">
        <v>78</v>
      </c>
      <c r="BG15" t="s">
        <v>76</v>
      </c>
      <c r="BH15" t="s">
        <v>252</v>
      </c>
      <c r="BI15" t="s">
        <v>273</v>
      </c>
      <c r="BJ15" t="s">
        <v>274</v>
      </c>
      <c r="BK15">
        <v>20</v>
      </c>
      <c r="BL15" t="s">
        <v>73</v>
      </c>
      <c r="BM15" t="s">
        <v>73</v>
      </c>
      <c r="BN15" t="s">
        <v>73</v>
      </c>
      <c r="BO15" t="s">
        <v>73</v>
      </c>
      <c r="BP15" t="s">
        <v>73</v>
      </c>
      <c r="BQ15" s="1" t="s">
        <v>73</v>
      </c>
      <c r="BS15" s="1" t="s">
        <v>73</v>
      </c>
      <c r="BT15" s="1" t="s">
        <v>369</v>
      </c>
      <c r="BU15" s="1" t="s">
        <v>369</v>
      </c>
      <c r="BV15" s="1" t="s">
        <v>369</v>
      </c>
      <c r="BX15" t="s">
        <v>73</v>
      </c>
      <c r="CC15" s="1"/>
      <c r="CD15" s="1"/>
      <c r="CJ15"/>
      <c r="CK15"/>
      <c r="CL15"/>
      <c r="CM15"/>
      <c r="CN15"/>
      <c r="CO15"/>
      <c r="CP15"/>
      <c r="CQ15"/>
      <c r="CR15"/>
      <c r="CS15"/>
      <c r="CT15"/>
      <c r="CU15"/>
      <c r="CV15"/>
      <c r="CW15"/>
      <c r="CX15"/>
    </row>
    <row r="16" spans="1:105" ht="16" x14ac:dyDescent="0.2">
      <c r="A16" t="s">
        <v>135</v>
      </c>
      <c r="B16" t="s">
        <v>262</v>
      </c>
      <c r="C16" t="s">
        <v>263</v>
      </c>
      <c r="D16" s="1" t="s">
        <v>73</v>
      </c>
      <c r="E16" s="1" t="s">
        <v>72</v>
      </c>
      <c r="F16" s="1" t="s">
        <v>72</v>
      </c>
      <c r="G16" s="1" t="s">
        <v>72</v>
      </c>
      <c r="H16" s="1" t="s">
        <v>74</v>
      </c>
      <c r="I16" s="1">
        <v>10</v>
      </c>
      <c r="J16"/>
      <c r="K16"/>
      <c r="L16" s="1">
        <v>3</v>
      </c>
      <c r="M16"/>
      <c r="N16" s="1">
        <v>4</v>
      </c>
      <c r="Q16" s="1" t="s">
        <v>73</v>
      </c>
      <c r="R16" s="1" t="s">
        <v>73</v>
      </c>
      <c r="S16" s="1" t="s">
        <v>73</v>
      </c>
      <c r="T16">
        <v>1</v>
      </c>
      <c r="U16">
        <v>1</v>
      </c>
      <c r="V16">
        <v>1</v>
      </c>
      <c r="W16">
        <v>1</v>
      </c>
      <c r="X16">
        <v>1</v>
      </c>
      <c r="Y16">
        <v>1</v>
      </c>
      <c r="Z16" s="1" t="s">
        <v>73</v>
      </c>
      <c r="AA16" s="1" t="s">
        <v>73</v>
      </c>
      <c r="AB16">
        <v>5</v>
      </c>
      <c r="AC16">
        <v>9</v>
      </c>
      <c r="AD16"/>
      <c r="AE16">
        <v>1</v>
      </c>
      <c r="AF16"/>
      <c r="AG16">
        <v>9</v>
      </c>
      <c r="AH16"/>
      <c r="AI16">
        <v>1</v>
      </c>
      <c r="AJ16"/>
      <c r="AK16" s="1" t="s">
        <v>73</v>
      </c>
      <c r="AL16" s="1" t="s">
        <v>72</v>
      </c>
      <c r="AM16">
        <v>6</v>
      </c>
      <c r="AN16" s="1" t="s">
        <v>73</v>
      </c>
      <c r="AO16"/>
      <c r="AP16" s="1" t="s">
        <v>73</v>
      </c>
      <c r="AR16" s="1" t="s">
        <v>72</v>
      </c>
      <c r="AS16">
        <v>6</v>
      </c>
      <c r="AT16" s="1" t="s">
        <v>72</v>
      </c>
      <c r="AU16" s="1">
        <v>1</v>
      </c>
      <c r="AW16" s="1">
        <v>70</v>
      </c>
      <c r="AX16" s="1">
        <v>26</v>
      </c>
      <c r="AY16" t="s">
        <v>73</v>
      </c>
      <c r="AZ16" t="s">
        <v>73</v>
      </c>
      <c r="BA16" s="61" t="s">
        <v>73</v>
      </c>
      <c r="BB16">
        <v>1898</v>
      </c>
      <c r="BC16" s="85">
        <v>45648.890462962961</v>
      </c>
      <c r="BD16" s="85">
        <v>45648.848796296297</v>
      </c>
      <c r="BE16" t="s">
        <v>73</v>
      </c>
      <c r="BF16" t="s">
        <v>73</v>
      </c>
      <c r="BG16" t="s">
        <v>73</v>
      </c>
      <c r="BH16" t="s">
        <v>73</v>
      </c>
      <c r="BI16" t="s">
        <v>73</v>
      </c>
      <c r="BJ16" t="s">
        <v>73</v>
      </c>
      <c r="BL16" t="s">
        <v>73</v>
      </c>
      <c r="BM16" t="s">
        <v>73</v>
      </c>
      <c r="BN16" t="s">
        <v>73</v>
      </c>
      <c r="BO16" t="s">
        <v>73</v>
      </c>
      <c r="BP16" t="s">
        <v>73</v>
      </c>
      <c r="BQ16" s="1" t="s">
        <v>73</v>
      </c>
      <c r="BS16" s="1" t="s">
        <v>75</v>
      </c>
      <c r="BT16" s="1" t="s">
        <v>379</v>
      </c>
      <c r="BU16" s="1" t="s">
        <v>390</v>
      </c>
      <c r="BV16" s="1" t="s">
        <v>381</v>
      </c>
      <c r="BW16">
        <v>20</v>
      </c>
      <c r="BX16" t="s">
        <v>73</v>
      </c>
      <c r="CC16" s="1"/>
      <c r="CD16" s="1"/>
      <c r="CJ16"/>
      <c r="CK16"/>
      <c r="CL16"/>
      <c r="CM16"/>
      <c r="CN16"/>
      <c r="CO16"/>
      <c r="CP16"/>
      <c r="CQ16"/>
      <c r="CR16"/>
      <c r="CS16"/>
      <c r="CT16"/>
      <c r="CU16"/>
      <c r="CV16"/>
      <c r="CW16"/>
      <c r="CX16"/>
    </row>
    <row r="17" spans="1:102" ht="32" x14ac:dyDescent="0.2">
      <c r="A17" t="s">
        <v>135</v>
      </c>
      <c r="B17" t="s">
        <v>259</v>
      </c>
      <c r="C17" t="s">
        <v>260</v>
      </c>
      <c r="D17" s="1" t="s">
        <v>73</v>
      </c>
      <c r="E17" s="1" t="s">
        <v>73</v>
      </c>
      <c r="F17" s="1" t="s">
        <v>72</v>
      </c>
      <c r="G17" s="1" t="s">
        <v>73</v>
      </c>
      <c r="I17" s="1">
        <v>4</v>
      </c>
      <c r="J17"/>
      <c r="K17"/>
      <c r="M17"/>
      <c r="Q17" s="1" t="s">
        <v>73</v>
      </c>
      <c r="R17" s="1" t="s">
        <v>73</v>
      </c>
      <c r="S17" s="1" t="s">
        <v>73</v>
      </c>
      <c r="T17"/>
      <c r="U17"/>
      <c r="V17"/>
      <c r="W17"/>
      <c r="X17"/>
      <c r="Y17"/>
      <c r="Z17" s="1" t="s">
        <v>73</v>
      </c>
      <c r="AA17" s="1" t="s">
        <v>73</v>
      </c>
      <c r="AB17"/>
      <c r="AC17"/>
      <c r="AD17"/>
      <c r="AE17"/>
      <c r="AF17"/>
      <c r="AG17"/>
      <c r="AH17"/>
      <c r="AI17"/>
      <c r="AJ17"/>
      <c r="AK17" s="1" t="s">
        <v>73</v>
      </c>
      <c r="AL17" s="1" t="s">
        <v>72</v>
      </c>
      <c r="AM17">
        <v>6</v>
      </c>
      <c r="AN17" s="1" t="s">
        <v>72</v>
      </c>
      <c r="AO17">
        <v>6</v>
      </c>
      <c r="AP17" s="1" t="s">
        <v>73</v>
      </c>
      <c r="AR17" s="1" t="s">
        <v>73</v>
      </c>
      <c r="AT17" s="1" t="s">
        <v>73</v>
      </c>
      <c r="AW17" s="1">
        <v>15</v>
      </c>
      <c r="AX17" s="1">
        <v>2</v>
      </c>
      <c r="AY17" t="s">
        <v>73</v>
      </c>
      <c r="AZ17" t="s">
        <v>73</v>
      </c>
      <c r="BA17" s="61" t="s">
        <v>261</v>
      </c>
      <c r="BB17">
        <v>1894</v>
      </c>
      <c r="BC17" s="85">
        <v>45648.812951388885</v>
      </c>
      <c r="BD17" s="85">
        <v>45648.771284722221</v>
      </c>
      <c r="BE17" t="s">
        <v>73</v>
      </c>
      <c r="BF17" t="s">
        <v>73</v>
      </c>
      <c r="BG17" t="s">
        <v>73</v>
      </c>
      <c r="BH17" t="s">
        <v>73</v>
      </c>
      <c r="BI17" t="s">
        <v>73</v>
      </c>
      <c r="BJ17" t="s">
        <v>73</v>
      </c>
      <c r="BL17" t="s">
        <v>73</v>
      </c>
      <c r="BM17" t="s">
        <v>73</v>
      </c>
      <c r="BN17" t="s">
        <v>73</v>
      </c>
      <c r="BO17" t="s">
        <v>73</v>
      </c>
      <c r="BP17" t="s">
        <v>73</v>
      </c>
      <c r="BQ17" s="1" t="s">
        <v>73</v>
      </c>
      <c r="BS17" s="1" t="s">
        <v>73</v>
      </c>
      <c r="BT17" s="1" t="s">
        <v>369</v>
      </c>
      <c r="BU17" s="1" t="s">
        <v>369</v>
      </c>
      <c r="BV17" s="1" t="s">
        <v>369</v>
      </c>
      <c r="BX17" t="s">
        <v>73</v>
      </c>
      <c r="CC17" s="1"/>
      <c r="CD17" s="1"/>
      <c r="CJ17"/>
      <c r="CK17"/>
      <c r="CL17"/>
      <c r="CM17"/>
      <c r="CN17"/>
      <c r="CO17"/>
      <c r="CP17"/>
      <c r="CQ17"/>
      <c r="CR17"/>
      <c r="CS17"/>
      <c r="CT17"/>
      <c r="CU17"/>
      <c r="CV17"/>
      <c r="CW17"/>
      <c r="CX17"/>
    </row>
    <row r="18" spans="1:102" ht="16" x14ac:dyDescent="0.2">
      <c r="A18" t="s">
        <v>135</v>
      </c>
      <c r="B18" t="s">
        <v>257</v>
      </c>
      <c r="C18" t="s">
        <v>258</v>
      </c>
      <c r="D18" s="1" t="s">
        <v>72</v>
      </c>
      <c r="E18" s="1" t="s">
        <v>73</v>
      </c>
      <c r="F18" s="1" t="s">
        <v>73</v>
      </c>
      <c r="G18" s="1" t="s">
        <v>73</v>
      </c>
      <c r="J18"/>
      <c r="K18"/>
      <c r="M18"/>
      <c r="Q18" s="1" t="s">
        <v>73</v>
      </c>
      <c r="R18" s="1" t="s">
        <v>73</v>
      </c>
      <c r="S18" s="1" t="s">
        <v>73</v>
      </c>
      <c r="T18"/>
      <c r="U18"/>
      <c r="V18"/>
      <c r="W18"/>
      <c r="X18"/>
      <c r="Y18"/>
      <c r="Z18" s="1" t="s">
        <v>73</v>
      </c>
      <c r="AA18" s="1" t="s">
        <v>73</v>
      </c>
      <c r="AB18"/>
      <c r="AC18"/>
      <c r="AD18"/>
      <c r="AE18"/>
      <c r="AF18"/>
      <c r="AG18"/>
      <c r="AH18"/>
      <c r="AI18"/>
      <c r="AJ18"/>
      <c r="AK18" s="1" t="s">
        <v>73</v>
      </c>
      <c r="AL18" s="1" t="s">
        <v>73</v>
      </c>
      <c r="AN18" s="1" t="s">
        <v>73</v>
      </c>
      <c r="AO18"/>
      <c r="AP18" s="1" t="s">
        <v>73</v>
      </c>
      <c r="AR18" s="1" t="s">
        <v>73</v>
      </c>
      <c r="AT18" s="1" t="s">
        <v>73</v>
      </c>
      <c r="AW18" s="1">
        <v>4</v>
      </c>
      <c r="AX18" s="1">
        <v>0</v>
      </c>
      <c r="AY18" t="s">
        <v>73</v>
      </c>
      <c r="AZ18" t="s">
        <v>73</v>
      </c>
      <c r="BA18" s="61" t="s">
        <v>73</v>
      </c>
      <c r="BB18">
        <v>1891</v>
      </c>
      <c r="BC18" s="85">
        <v>45648.414872685185</v>
      </c>
      <c r="BD18" s="85">
        <v>45648.373206018521</v>
      </c>
      <c r="BE18" t="s">
        <v>73</v>
      </c>
      <c r="BF18" t="s">
        <v>73</v>
      </c>
      <c r="BG18" t="s">
        <v>73</v>
      </c>
      <c r="BH18" t="s">
        <v>73</v>
      </c>
      <c r="BI18" t="s">
        <v>73</v>
      </c>
      <c r="BJ18" t="s">
        <v>73</v>
      </c>
      <c r="BL18" t="s">
        <v>73</v>
      </c>
      <c r="BM18" t="s">
        <v>73</v>
      </c>
      <c r="BN18" t="s">
        <v>73</v>
      </c>
      <c r="BO18" t="s">
        <v>73</v>
      </c>
      <c r="BP18" t="s">
        <v>73</v>
      </c>
      <c r="BQ18" s="1" t="s">
        <v>73</v>
      </c>
      <c r="BS18" s="1" t="s">
        <v>73</v>
      </c>
      <c r="BT18" s="1" t="s">
        <v>369</v>
      </c>
      <c r="BU18" s="1" t="s">
        <v>369</v>
      </c>
      <c r="BV18" s="1" t="s">
        <v>369</v>
      </c>
      <c r="BX18" t="s">
        <v>73</v>
      </c>
      <c r="CC18" s="1"/>
      <c r="CD18" s="1"/>
      <c r="CE18" s="1"/>
      <c r="CF18" s="1"/>
      <c r="CG18" s="1"/>
      <c r="CH18" s="1"/>
      <c r="CJ18"/>
      <c r="CK18"/>
      <c r="CL18"/>
      <c r="CM18"/>
      <c r="CN18"/>
      <c r="CO18"/>
      <c r="CP18"/>
      <c r="CQ18"/>
      <c r="CR18"/>
      <c r="CS18"/>
      <c r="CT18"/>
      <c r="CU18"/>
      <c r="CV18"/>
      <c r="CW18"/>
      <c r="CX18"/>
    </row>
    <row r="19" spans="1:102" ht="16" x14ac:dyDescent="0.2">
      <c r="A19" t="s">
        <v>135</v>
      </c>
      <c r="B19" t="s">
        <v>247</v>
      </c>
      <c r="C19" t="s">
        <v>248</v>
      </c>
      <c r="D19" s="1" t="s">
        <v>73</v>
      </c>
      <c r="E19" s="1" t="s">
        <v>72</v>
      </c>
      <c r="F19" s="1" t="s">
        <v>72</v>
      </c>
      <c r="G19" s="1" t="s">
        <v>73</v>
      </c>
      <c r="I19" s="1">
        <v>8</v>
      </c>
      <c r="J19">
        <v>3</v>
      </c>
      <c r="K19"/>
      <c r="M19"/>
      <c r="Q19" s="1" t="s">
        <v>73</v>
      </c>
      <c r="R19" s="1" t="s">
        <v>73</v>
      </c>
      <c r="S19" s="1" t="s">
        <v>73</v>
      </c>
      <c r="T19"/>
      <c r="U19"/>
      <c r="V19"/>
      <c r="W19"/>
      <c r="X19"/>
      <c r="Y19"/>
      <c r="Z19" s="1" t="s">
        <v>73</v>
      </c>
      <c r="AA19" s="1" t="s">
        <v>73</v>
      </c>
      <c r="AB19"/>
      <c r="AC19"/>
      <c r="AD19"/>
      <c r="AE19"/>
      <c r="AF19"/>
      <c r="AG19"/>
      <c r="AH19"/>
      <c r="AI19"/>
      <c r="AJ19"/>
      <c r="AK19" s="1" t="s">
        <v>73</v>
      </c>
      <c r="AL19" s="1" t="s">
        <v>73</v>
      </c>
      <c r="AN19" s="1" t="s">
        <v>73</v>
      </c>
      <c r="AO19"/>
      <c r="AP19" s="1" t="s">
        <v>73</v>
      </c>
      <c r="AR19" s="1" t="s">
        <v>73</v>
      </c>
      <c r="AT19" s="1" t="s">
        <v>73</v>
      </c>
      <c r="AW19" s="1">
        <v>35</v>
      </c>
      <c r="AX19" s="1">
        <v>4</v>
      </c>
      <c r="AY19" t="s">
        <v>73</v>
      </c>
      <c r="AZ19" t="s">
        <v>73</v>
      </c>
      <c r="BA19" s="61" t="s">
        <v>73</v>
      </c>
      <c r="BB19">
        <v>1890</v>
      </c>
      <c r="BC19" s="85">
        <v>45647.574328703704</v>
      </c>
      <c r="BD19" s="85">
        <v>45657.430625000001</v>
      </c>
      <c r="BE19" t="s">
        <v>73</v>
      </c>
      <c r="BF19" t="s">
        <v>73</v>
      </c>
      <c r="BG19" t="s">
        <v>73</v>
      </c>
      <c r="BH19" t="s">
        <v>73</v>
      </c>
      <c r="BI19" t="s">
        <v>73</v>
      </c>
      <c r="BJ19" t="s">
        <v>73</v>
      </c>
      <c r="BL19" t="s">
        <v>73</v>
      </c>
      <c r="BM19" t="s">
        <v>73</v>
      </c>
      <c r="BN19" t="s">
        <v>73</v>
      </c>
      <c r="BO19" t="s">
        <v>73</v>
      </c>
      <c r="BP19" t="s">
        <v>73</v>
      </c>
      <c r="BQ19" s="1" t="s">
        <v>73</v>
      </c>
      <c r="BS19" s="1" t="s">
        <v>73</v>
      </c>
      <c r="BT19" s="1" t="s">
        <v>369</v>
      </c>
      <c r="BU19" s="1" t="s">
        <v>369</v>
      </c>
      <c r="BV19" s="1" t="s">
        <v>369</v>
      </c>
      <c r="BX19" t="s">
        <v>73</v>
      </c>
      <c r="CC19" s="1"/>
      <c r="CD19" s="1"/>
      <c r="CE19" s="1"/>
      <c r="CF19" s="1"/>
      <c r="CG19" s="1"/>
      <c r="CH19" s="1"/>
      <c r="CJ19"/>
      <c r="CK19"/>
      <c r="CL19"/>
      <c r="CM19"/>
      <c r="CN19"/>
      <c r="CO19"/>
      <c r="CP19"/>
      <c r="CQ19"/>
      <c r="CR19"/>
      <c r="CS19"/>
      <c r="CT19"/>
      <c r="CU19"/>
      <c r="CV19"/>
      <c r="CW19"/>
      <c r="CX19"/>
    </row>
    <row r="20" spans="1:102" ht="80" x14ac:dyDescent="0.2">
      <c r="A20" t="s">
        <v>135</v>
      </c>
      <c r="B20" t="s">
        <v>241</v>
      </c>
      <c r="C20" t="s">
        <v>242</v>
      </c>
      <c r="D20" s="1" t="s">
        <v>73</v>
      </c>
      <c r="E20" s="1" t="s">
        <v>72</v>
      </c>
      <c r="F20" s="1" t="s">
        <v>72</v>
      </c>
      <c r="G20" s="1" t="s">
        <v>73</v>
      </c>
      <c r="H20" s="1" t="s">
        <v>72</v>
      </c>
      <c r="I20" s="1">
        <v>6</v>
      </c>
      <c r="J20">
        <v>3</v>
      </c>
      <c r="K20"/>
      <c r="M20"/>
      <c r="Q20" s="1" t="s">
        <v>73</v>
      </c>
      <c r="R20" s="1" t="s">
        <v>73</v>
      </c>
      <c r="S20" s="1" t="s">
        <v>73</v>
      </c>
      <c r="T20">
        <v>1</v>
      </c>
      <c r="U20"/>
      <c r="V20"/>
      <c r="W20">
        <v>1</v>
      </c>
      <c r="X20"/>
      <c r="Y20"/>
      <c r="Z20" s="1" t="s">
        <v>73</v>
      </c>
      <c r="AA20" s="1" t="s">
        <v>73</v>
      </c>
      <c r="AB20">
        <v>7</v>
      </c>
      <c r="AC20"/>
      <c r="AD20"/>
      <c r="AE20"/>
      <c r="AF20"/>
      <c r="AG20"/>
      <c r="AH20"/>
      <c r="AI20"/>
      <c r="AJ20"/>
      <c r="AK20" s="1" t="s">
        <v>73</v>
      </c>
      <c r="AL20" s="1" t="s">
        <v>72</v>
      </c>
      <c r="AM20">
        <v>6</v>
      </c>
      <c r="AN20" s="1" t="s">
        <v>72</v>
      </c>
      <c r="AO20">
        <v>6</v>
      </c>
      <c r="AP20" s="1" t="s">
        <v>73</v>
      </c>
      <c r="AR20" s="1" t="s">
        <v>72</v>
      </c>
      <c r="AS20">
        <v>6</v>
      </c>
      <c r="AT20" s="1" t="s">
        <v>72</v>
      </c>
      <c r="AU20" s="1">
        <v>4</v>
      </c>
      <c r="AV20" s="1">
        <v>5</v>
      </c>
      <c r="AW20" s="1">
        <v>46</v>
      </c>
      <c r="AX20" s="1">
        <v>18</v>
      </c>
      <c r="AY20" t="s">
        <v>73</v>
      </c>
      <c r="AZ20" t="s">
        <v>73</v>
      </c>
      <c r="BA20" s="61" t="s">
        <v>399</v>
      </c>
      <c r="BB20">
        <v>1885</v>
      </c>
      <c r="BC20" s="85">
        <v>45647.553773148145</v>
      </c>
      <c r="BD20" s="85">
        <v>45658.737083333333</v>
      </c>
      <c r="BE20" t="s">
        <v>73</v>
      </c>
      <c r="BF20" t="s">
        <v>73</v>
      </c>
      <c r="BG20" t="s">
        <v>73</v>
      </c>
      <c r="BH20" t="s">
        <v>73</v>
      </c>
      <c r="BI20" t="s">
        <v>73</v>
      </c>
      <c r="BJ20" t="s">
        <v>73</v>
      </c>
      <c r="BL20" t="s">
        <v>73</v>
      </c>
      <c r="BM20" t="s">
        <v>73</v>
      </c>
      <c r="BN20" t="s">
        <v>73</v>
      </c>
      <c r="BO20" t="s">
        <v>73</v>
      </c>
      <c r="BP20" t="s">
        <v>73</v>
      </c>
      <c r="BQ20" s="1" t="s">
        <v>73</v>
      </c>
      <c r="BS20" s="1" t="s">
        <v>169</v>
      </c>
      <c r="BT20" s="1" t="s">
        <v>391</v>
      </c>
      <c r="BU20" s="1" t="s">
        <v>392</v>
      </c>
      <c r="BV20" s="1" t="s">
        <v>393</v>
      </c>
      <c r="BW20">
        <v>8</v>
      </c>
      <c r="BX20" t="s">
        <v>73</v>
      </c>
      <c r="CC20" s="1"/>
      <c r="CD20" s="1"/>
      <c r="CE20" s="1"/>
      <c r="CF20" s="1"/>
      <c r="CG20" s="1"/>
      <c r="CH20" s="1"/>
      <c r="CJ20"/>
      <c r="CK20"/>
      <c r="CL20"/>
      <c r="CM20"/>
      <c r="CN20"/>
      <c r="CO20"/>
      <c r="CP20"/>
      <c r="CQ20"/>
      <c r="CR20"/>
      <c r="CS20"/>
      <c r="CT20"/>
      <c r="CU20"/>
      <c r="CV20"/>
      <c r="CW20"/>
      <c r="CX20"/>
    </row>
    <row r="21" spans="1:102" ht="16" x14ac:dyDescent="0.2">
      <c r="A21" t="s">
        <v>135</v>
      </c>
      <c r="B21" t="s">
        <v>244</v>
      </c>
      <c r="C21" t="s">
        <v>245</v>
      </c>
      <c r="D21" s="1" t="s">
        <v>73</v>
      </c>
      <c r="E21" s="1" t="s">
        <v>72</v>
      </c>
      <c r="F21" s="1" t="s">
        <v>72</v>
      </c>
      <c r="G21" s="1" t="s">
        <v>73</v>
      </c>
      <c r="I21" s="1">
        <v>7</v>
      </c>
      <c r="J21"/>
      <c r="K21"/>
      <c r="M21"/>
      <c r="Q21" s="1" t="s">
        <v>73</v>
      </c>
      <c r="R21" s="1" t="s">
        <v>73</v>
      </c>
      <c r="S21" s="1" t="s">
        <v>73</v>
      </c>
      <c r="T21">
        <v>2</v>
      </c>
      <c r="U21"/>
      <c r="V21"/>
      <c r="W21">
        <v>2</v>
      </c>
      <c r="X21"/>
      <c r="Y21"/>
      <c r="Z21" s="1" t="s">
        <v>72</v>
      </c>
      <c r="AA21" s="1" t="s">
        <v>73</v>
      </c>
      <c r="AB21"/>
      <c r="AC21">
        <v>2</v>
      </c>
      <c r="AD21"/>
      <c r="AE21"/>
      <c r="AF21"/>
      <c r="AG21">
        <v>2</v>
      </c>
      <c r="AH21"/>
      <c r="AI21"/>
      <c r="AJ21"/>
      <c r="AK21" s="1" t="s">
        <v>73</v>
      </c>
      <c r="AL21" s="1" t="s">
        <v>72</v>
      </c>
      <c r="AM21">
        <v>6</v>
      </c>
      <c r="AN21" s="1" t="s">
        <v>72</v>
      </c>
      <c r="AO21">
        <v>6</v>
      </c>
      <c r="AP21" s="1" t="s">
        <v>73</v>
      </c>
      <c r="AR21" s="1" t="s">
        <v>72</v>
      </c>
      <c r="AS21">
        <v>6</v>
      </c>
      <c r="AT21" s="1" t="s">
        <v>72</v>
      </c>
      <c r="AU21" s="1">
        <v>1</v>
      </c>
      <c r="AW21" s="1">
        <v>75</v>
      </c>
      <c r="AX21" s="1">
        <v>5</v>
      </c>
      <c r="AY21" t="s">
        <v>73</v>
      </c>
      <c r="AZ21" t="s">
        <v>73</v>
      </c>
      <c r="BA21" s="61" t="s">
        <v>73</v>
      </c>
      <c r="BB21">
        <v>1880</v>
      </c>
      <c r="BC21" s="85">
        <v>45647.421400462961</v>
      </c>
      <c r="BD21" s="85">
        <v>45647.441203703704</v>
      </c>
      <c r="BE21" t="s">
        <v>245</v>
      </c>
      <c r="BF21" t="s">
        <v>78</v>
      </c>
      <c r="BG21" t="s">
        <v>215</v>
      </c>
      <c r="BH21" t="s">
        <v>162</v>
      </c>
      <c r="BI21" t="s">
        <v>246</v>
      </c>
      <c r="BJ21" t="s">
        <v>246</v>
      </c>
      <c r="BK21">
        <v>35</v>
      </c>
      <c r="BL21" t="s">
        <v>73</v>
      </c>
      <c r="BM21" t="s">
        <v>73</v>
      </c>
      <c r="BN21" t="s">
        <v>73</v>
      </c>
      <c r="BO21" t="s">
        <v>73</v>
      </c>
      <c r="BP21" t="s">
        <v>73</v>
      </c>
      <c r="BQ21" s="1" t="s">
        <v>73</v>
      </c>
      <c r="BS21" s="1" t="s">
        <v>73</v>
      </c>
      <c r="BT21" s="1" t="s">
        <v>369</v>
      </c>
      <c r="BU21" s="1" t="s">
        <v>369</v>
      </c>
      <c r="BV21" s="1" t="s">
        <v>369</v>
      </c>
      <c r="BX21" t="s">
        <v>73</v>
      </c>
      <c r="CG21" s="1"/>
      <c r="CH21" s="1"/>
      <c r="CI21" s="1"/>
      <c r="CV21"/>
      <c r="CW21"/>
      <c r="CX21"/>
    </row>
    <row r="22" spans="1:102" ht="16" x14ac:dyDescent="0.2">
      <c r="A22" t="s">
        <v>135</v>
      </c>
      <c r="B22" t="s">
        <v>237</v>
      </c>
      <c r="C22" t="s">
        <v>238</v>
      </c>
      <c r="D22" s="1" t="s">
        <v>73</v>
      </c>
      <c r="E22" s="1" t="s">
        <v>72</v>
      </c>
      <c r="F22" s="1" t="s">
        <v>72</v>
      </c>
      <c r="G22" s="1" t="s">
        <v>73</v>
      </c>
      <c r="I22" s="1">
        <v>4</v>
      </c>
      <c r="J22"/>
      <c r="K22"/>
      <c r="M22"/>
      <c r="Q22" s="1" t="s">
        <v>73</v>
      </c>
      <c r="R22" s="1" t="s">
        <v>73</v>
      </c>
      <c r="S22" s="1" t="s">
        <v>73</v>
      </c>
      <c r="T22"/>
      <c r="U22"/>
      <c r="V22"/>
      <c r="W22"/>
      <c r="X22"/>
      <c r="Y22"/>
      <c r="Z22" s="1" t="s">
        <v>73</v>
      </c>
      <c r="AA22" s="1" t="s">
        <v>73</v>
      </c>
      <c r="AB22"/>
      <c r="AC22"/>
      <c r="AD22">
        <v>1</v>
      </c>
      <c r="AE22"/>
      <c r="AF22"/>
      <c r="AG22"/>
      <c r="AH22">
        <v>1</v>
      </c>
      <c r="AI22"/>
      <c r="AJ22"/>
      <c r="AK22" s="1" t="s">
        <v>73</v>
      </c>
      <c r="AL22" s="1" t="s">
        <v>72</v>
      </c>
      <c r="AM22">
        <v>6</v>
      </c>
      <c r="AN22" s="1" t="s">
        <v>72</v>
      </c>
      <c r="AO22">
        <v>6</v>
      </c>
      <c r="AP22" s="1" t="s">
        <v>72</v>
      </c>
      <c r="AQ22">
        <v>6</v>
      </c>
      <c r="AR22" s="1" t="s">
        <v>72</v>
      </c>
      <c r="AS22">
        <v>6</v>
      </c>
      <c r="AT22" s="1" t="s">
        <v>73</v>
      </c>
      <c r="AW22" s="1">
        <v>6</v>
      </c>
      <c r="AX22" s="1">
        <v>0</v>
      </c>
      <c r="AY22" t="s">
        <v>73</v>
      </c>
      <c r="AZ22" t="s">
        <v>73</v>
      </c>
      <c r="BA22" s="61" t="s">
        <v>73</v>
      </c>
      <c r="BB22">
        <v>1869</v>
      </c>
      <c r="BC22" s="85">
        <v>45645.398530092592</v>
      </c>
      <c r="BD22" s="85">
        <v>45645.356863425928</v>
      </c>
      <c r="BE22" t="s">
        <v>73</v>
      </c>
      <c r="BF22" t="s">
        <v>73</v>
      </c>
      <c r="BG22" t="s">
        <v>73</v>
      </c>
      <c r="BH22" t="s">
        <v>73</v>
      </c>
      <c r="BI22" t="s">
        <v>73</v>
      </c>
      <c r="BJ22" t="s">
        <v>73</v>
      </c>
      <c r="BL22" t="s">
        <v>73</v>
      </c>
      <c r="BM22" t="s">
        <v>73</v>
      </c>
      <c r="BN22" t="s">
        <v>73</v>
      </c>
      <c r="BO22" t="s">
        <v>73</v>
      </c>
      <c r="BP22" t="s">
        <v>73</v>
      </c>
      <c r="BQ22" s="1" t="s">
        <v>73</v>
      </c>
      <c r="BS22" s="1" t="s">
        <v>73</v>
      </c>
      <c r="BT22" s="1" t="s">
        <v>369</v>
      </c>
      <c r="BU22" s="1" t="s">
        <v>369</v>
      </c>
      <c r="BV22" s="1" t="s">
        <v>369</v>
      </c>
      <c r="BX22" t="s">
        <v>73</v>
      </c>
      <c r="CG22" s="1"/>
      <c r="CH22" s="1"/>
      <c r="CI22" s="1"/>
      <c r="CV22"/>
      <c r="CW22"/>
      <c r="CX22"/>
    </row>
    <row r="23" spans="1:102" ht="16" x14ac:dyDescent="0.2">
      <c r="A23" t="s">
        <v>135</v>
      </c>
      <c r="B23" t="s">
        <v>228</v>
      </c>
      <c r="C23" t="s">
        <v>229</v>
      </c>
      <c r="D23" s="1" t="s">
        <v>73</v>
      </c>
      <c r="E23" s="1" t="s">
        <v>72</v>
      </c>
      <c r="F23" s="1" t="s">
        <v>72</v>
      </c>
      <c r="G23" s="1" t="s">
        <v>73</v>
      </c>
      <c r="I23" s="1">
        <v>6</v>
      </c>
      <c r="J23"/>
      <c r="K23"/>
      <c r="L23" s="1">
        <v>4</v>
      </c>
      <c r="M23"/>
      <c r="Q23" s="1" t="s">
        <v>73</v>
      </c>
      <c r="R23" s="1" t="s">
        <v>73</v>
      </c>
      <c r="S23" s="1" t="s">
        <v>73</v>
      </c>
      <c r="T23"/>
      <c r="U23"/>
      <c r="V23"/>
      <c r="W23"/>
      <c r="X23"/>
      <c r="Y23"/>
      <c r="Z23" s="1" t="s">
        <v>73</v>
      </c>
      <c r="AA23" s="1" t="s">
        <v>73</v>
      </c>
      <c r="AB23"/>
      <c r="AC23">
        <v>5</v>
      </c>
      <c r="AD23"/>
      <c r="AE23"/>
      <c r="AF23"/>
      <c r="AG23">
        <v>2</v>
      </c>
      <c r="AH23"/>
      <c r="AI23"/>
      <c r="AJ23"/>
      <c r="AK23" s="1" t="s">
        <v>73</v>
      </c>
      <c r="AL23" s="1" t="s">
        <v>72</v>
      </c>
      <c r="AM23">
        <v>4</v>
      </c>
      <c r="AN23" s="1" t="s">
        <v>72</v>
      </c>
      <c r="AO23">
        <v>4</v>
      </c>
      <c r="AP23" s="1" t="s">
        <v>73</v>
      </c>
      <c r="AR23" s="1" t="s">
        <v>73</v>
      </c>
      <c r="AT23" s="1" t="s">
        <v>73</v>
      </c>
      <c r="AW23" s="1">
        <v>50</v>
      </c>
      <c r="AX23" s="1">
        <v>15</v>
      </c>
      <c r="AY23" t="s">
        <v>73</v>
      </c>
      <c r="AZ23" t="s">
        <v>73</v>
      </c>
      <c r="BA23" s="61" t="s">
        <v>73</v>
      </c>
      <c r="BB23">
        <v>1867</v>
      </c>
      <c r="BC23" s="85">
        <v>45644.860902777778</v>
      </c>
      <c r="BD23" s="85">
        <v>45649.548842592594</v>
      </c>
      <c r="BE23" t="s">
        <v>73</v>
      </c>
      <c r="BF23" t="s">
        <v>73</v>
      </c>
      <c r="BG23" t="s">
        <v>73</v>
      </c>
      <c r="BH23" t="s">
        <v>73</v>
      </c>
      <c r="BI23" t="s">
        <v>73</v>
      </c>
      <c r="BJ23" t="s">
        <v>73</v>
      </c>
      <c r="BL23" t="s">
        <v>73</v>
      </c>
      <c r="BM23" t="s">
        <v>73</v>
      </c>
      <c r="BN23" t="s">
        <v>73</v>
      </c>
      <c r="BO23" t="s">
        <v>73</v>
      </c>
      <c r="BP23" t="s">
        <v>73</v>
      </c>
      <c r="BQ23" s="1" t="s">
        <v>73</v>
      </c>
      <c r="BS23" s="1" t="s">
        <v>73</v>
      </c>
      <c r="BT23" s="1" t="s">
        <v>369</v>
      </c>
      <c r="BU23" s="1" t="s">
        <v>369</v>
      </c>
      <c r="BV23" s="1" t="s">
        <v>369</v>
      </c>
      <c r="BX23" t="s">
        <v>73</v>
      </c>
      <c r="CG23" s="1"/>
      <c r="CH23" s="1"/>
      <c r="CI23" s="1"/>
      <c r="CV23"/>
      <c r="CW23"/>
      <c r="CX23"/>
    </row>
    <row r="24" spans="1:102" ht="16" x14ac:dyDescent="0.2">
      <c r="A24" t="s">
        <v>135</v>
      </c>
      <c r="B24" t="s">
        <v>226</v>
      </c>
      <c r="C24" t="s">
        <v>227</v>
      </c>
      <c r="D24" s="1" t="s">
        <v>73</v>
      </c>
      <c r="E24" s="1" t="s">
        <v>72</v>
      </c>
      <c r="F24" s="1" t="s">
        <v>72</v>
      </c>
      <c r="G24" s="1" t="s">
        <v>73</v>
      </c>
      <c r="I24" s="1">
        <v>5</v>
      </c>
      <c r="J24"/>
      <c r="K24"/>
      <c r="M24"/>
      <c r="Q24" s="1" t="s">
        <v>73</v>
      </c>
      <c r="R24" s="1" t="s">
        <v>73</v>
      </c>
      <c r="S24" s="1" t="s">
        <v>73</v>
      </c>
      <c r="T24"/>
      <c r="U24"/>
      <c r="V24"/>
      <c r="W24"/>
      <c r="X24"/>
      <c r="Y24"/>
      <c r="Z24" s="1" t="s">
        <v>73</v>
      </c>
      <c r="AA24" s="1" t="s">
        <v>73</v>
      </c>
      <c r="AB24"/>
      <c r="AC24"/>
      <c r="AD24"/>
      <c r="AE24"/>
      <c r="AF24"/>
      <c r="AG24"/>
      <c r="AH24"/>
      <c r="AI24"/>
      <c r="AJ24"/>
      <c r="AK24" s="1" t="s">
        <v>72</v>
      </c>
      <c r="AL24" s="1" t="s">
        <v>72</v>
      </c>
      <c r="AM24">
        <v>5</v>
      </c>
      <c r="AN24" s="1" t="s">
        <v>72</v>
      </c>
      <c r="AO24">
        <v>5</v>
      </c>
      <c r="AP24" s="1" t="s">
        <v>73</v>
      </c>
      <c r="AR24" s="1" t="s">
        <v>72</v>
      </c>
      <c r="AS24">
        <v>5</v>
      </c>
      <c r="AT24" s="1" t="s">
        <v>73</v>
      </c>
      <c r="AW24" s="1">
        <v>40</v>
      </c>
      <c r="AX24" s="1">
        <v>1</v>
      </c>
      <c r="AY24" t="s">
        <v>73</v>
      </c>
      <c r="AZ24" t="s">
        <v>73</v>
      </c>
      <c r="BA24" s="61" t="s">
        <v>73</v>
      </c>
      <c r="BB24">
        <v>1864</v>
      </c>
      <c r="BC24" s="85">
        <v>45644.82234953704</v>
      </c>
      <c r="BD24" s="85">
        <v>45644.780682870369</v>
      </c>
      <c r="BE24" t="s">
        <v>73</v>
      </c>
      <c r="BF24" t="s">
        <v>73</v>
      </c>
      <c r="BG24" t="s">
        <v>73</v>
      </c>
      <c r="BH24" t="s">
        <v>73</v>
      </c>
      <c r="BI24" t="s">
        <v>73</v>
      </c>
      <c r="BJ24" t="s">
        <v>73</v>
      </c>
      <c r="BL24" t="s">
        <v>73</v>
      </c>
      <c r="BM24" t="s">
        <v>73</v>
      </c>
      <c r="BN24" t="s">
        <v>73</v>
      </c>
      <c r="BO24" t="s">
        <v>73</v>
      </c>
      <c r="BP24" t="s">
        <v>73</v>
      </c>
      <c r="BQ24" s="1" t="s">
        <v>73</v>
      </c>
      <c r="BS24" s="1" t="s">
        <v>73</v>
      </c>
      <c r="BT24" s="1" t="s">
        <v>369</v>
      </c>
      <c r="BU24" s="1" t="s">
        <v>369</v>
      </c>
      <c r="BV24" s="1" t="s">
        <v>369</v>
      </c>
      <c r="BX24" t="s">
        <v>73</v>
      </c>
      <c r="CG24" s="1"/>
      <c r="CH24" s="1"/>
      <c r="CI24" s="1"/>
      <c r="CV24"/>
      <c r="CW24"/>
      <c r="CX24"/>
    </row>
    <row r="25" spans="1:102" ht="16" x14ac:dyDescent="0.2">
      <c r="A25" t="s">
        <v>135</v>
      </c>
      <c r="B25" t="s">
        <v>205</v>
      </c>
      <c r="C25" t="s">
        <v>206</v>
      </c>
      <c r="D25" s="1" t="s">
        <v>73</v>
      </c>
      <c r="E25" s="1" t="s">
        <v>72</v>
      </c>
      <c r="F25" s="1" t="s">
        <v>73</v>
      </c>
      <c r="G25" s="1" t="s">
        <v>73</v>
      </c>
      <c r="I25" s="1">
        <v>6</v>
      </c>
      <c r="J25">
        <v>6</v>
      </c>
      <c r="K25"/>
      <c r="L25" s="1">
        <v>4</v>
      </c>
      <c r="M25"/>
      <c r="Q25" s="1" t="s">
        <v>73</v>
      </c>
      <c r="R25" s="1" t="s">
        <v>73</v>
      </c>
      <c r="S25" s="1" t="s">
        <v>73</v>
      </c>
      <c r="T25"/>
      <c r="U25"/>
      <c r="V25"/>
      <c r="W25"/>
      <c r="X25"/>
      <c r="Y25"/>
      <c r="Z25" s="1" t="s">
        <v>73</v>
      </c>
      <c r="AA25" s="1" t="s">
        <v>73</v>
      </c>
      <c r="AB25"/>
      <c r="AC25"/>
      <c r="AD25"/>
      <c r="AE25"/>
      <c r="AF25"/>
      <c r="AG25"/>
      <c r="AH25"/>
      <c r="AI25"/>
      <c r="AJ25"/>
      <c r="AK25" s="1" t="s">
        <v>73</v>
      </c>
      <c r="AL25" s="1" t="s">
        <v>72</v>
      </c>
      <c r="AM25">
        <v>6</v>
      </c>
      <c r="AN25" s="1" t="s">
        <v>72</v>
      </c>
      <c r="AO25">
        <v>6</v>
      </c>
      <c r="AP25" s="1" t="s">
        <v>73</v>
      </c>
      <c r="AR25" s="1" t="s">
        <v>72</v>
      </c>
      <c r="AS25">
        <v>6</v>
      </c>
      <c r="AT25" s="1" t="s">
        <v>72</v>
      </c>
      <c r="AU25" s="1">
        <v>2</v>
      </c>
      <c r="AV25" s="1">
        <v>2</v>
      </c>
      <c r="AW25" s="1">
        <v>100</v>
      </c>
      <c r="AX25" s="1">
        <v>8</v>
      </c>
      <c r="AY25" t="s">
        <v>72</v>
      </c>
      <c r="AZ25" t="s">
        <v>73</v>
      </c>
      <c r="BA25" s="61" t="s">
        <v>73</v>
      </c>
      <c r="BB25">
        <v>1859</v>
      </c>
      <c r="BC25" s="85">
        <v>45644.468113425923</v>
      </c>
      <c r="BD25" s="85">
        <v>45657.879027777781</v>
      </c>
      <c r="BE25" t="s">
        <v>73</v>
      </c>
      <c r="BF25" t="s">
        <v>73</v>
      </c>
      <c r="BG25" t="s">
        <v>73</v>
      </c>
      <c r="BH25" t="s">
        <v>73</v>
      </c>
      <c r="BI25" t="s">
        <v>73</v>
      </c>
      <c r="BJ25" t="s">
        <v>73</v>
      </c>
      <c r="BL25" t="s">
        <v>73</v>
      </c>
      <c r="BM25" t="s">
        <v>73</v>
      </c>
      <c r="BN25" t="s">
        <v>73</v>
      </c>
      <c r="BO25" t="s">
        <v>73</v>
      </c>
      <c r="BP25" t="s">
        <v>73</v>
      </c>
      <c r="BQ25" s="1" t="s">
        <v>73</v>
      </c>
      <c r="BS25" s="1" t="s">
        <v>73</v>
      </c>
      <c r="BT25" s="1" t="s">
        <v>369</v>
      </c>
      <c r="BU25" s="1" t="s">
        <v>369</v>
      </c>
      <c r="BV25" s="1" t="s">
        <v>369</v>
      </c>
      <c r="BX25" t="s">
        <v>73</v>
      </c>
      <c r="CG25" s="1"/>
      <c r="CH25" s="1"/>
      <c r="CI25" s="1"/>
      <c r="CV25"/>
      <c r="CW25"/>
      <c r="CX25"/>
    </row>
    <row r="26" spans="1:102" ht="16" x14ac:dyDescent="0.2">
      <c r="A26" t="s">
        <v>135</v>
      </c>
      <c r="B26" t="s">
        <v>212</v>
      </c>
      <c r="C26" t="s">
        <v>213</v>
      </c>
      <c r="D26" s="1" t="s">
        <v>73</v>
      </c>
      <c r="E26" s="1" t="s">
        <v>72</v>
      </c>
      <c r="F26" s="1" t="s">
        <v>72</v>
      </c>
      <c r="G26" s="1" t="s">
        <v>73</v>
      </c>
      <c r="I26" s="1">
        <v>6</v>
      </c>
      <c r="J26"/>
      <c r="K26"/>
      <c r="M26"/>
      <c r="Q26" s="1" t="s">
        <v>73</v>
      </c>
      <c r="R26" s="1" t="s">
        <v>73</v>
      </c>
      <c r="S26" s="1" t="s">
        <v>73</v>
      </c>
      <c r="T26"/>
      <c r="U26"/>
      <c r="V26"/>
      <c r="W26"/>
      <c r="X26"/>
      <c r="Y26"/>
      <c r="Z26" s="1" t="s">
        <v>73</v>
      </c>
      <c r="AA26" s="1" t="s">
        <v>73</v>
      </c>
      <c r="AB26"/>
      <c r="AC26"/>
      <c r="AD26"/>
      <c r="AE26"/>
      <c r="AF26"/>
      <c r="AG26"/>
      <c r="AH26"/>
      <c r="AI26"/>
      <c r="AJ26"/>
      <c r="AK26" s="1" t="s">
        <v>73</v>
      </c>
      <c r="AL26" s="1" t="s">
        <v>72</v>
      </c>
      <c r="AM26">
        <v>6</v>
      </c>
      <c r="AN26" s="1" t="s">
        <v>72</v>
      </c>
      <c r="AO26">
        <v>6</v>
      </c>
      <c r="AP26" s="1" t="s">
        <v>73</v>
      </c>
      <c r="AR26" s="1" t="s">
        <v>72</v>
      </c>
      <c r="AS26">
        <v>6</v>
      </c>
      <c r="AT26" s="1" t="s">
        <v>73</v>
      </c>
      <c r="AW26" s="1">
        <v>40</v>
      </c>
      <c r="AX26" s="1">
        <v>2</v>
      </c>
      <c r="AY26" t="s">
        <v>72</v>
      </c>
      <c r="AZ26" t="s">
        <v>73</v>
      </c>
      <c r="BA26" s="61" t="s">
        <v>73</v>
      </c>
      <c r="BB26">
        <v>1857</v>
      </c>
      <c r="BC26" s="85">
        <v>45643.901631944442</v>
      </c>
      <c r="BD26" s="85">
        <v>45643.859965277778</v>
      </c>
      <c r="BE26" t="s">
        <v>73</v>
      </c>
      <c r="BF26" t="s">
        <v>73</v>
      </c>
      <c r="BG26" t="s">
        <v>73</v>
      </c>
      <c r="BH26" t="s">
        <v>73</v>
      </c>
      <c r="BI26" t="s">
        <v>73</v>
      </c>
      <c r="BJ26" t="s">
        <v>73</v>
      </c>
      <c r="BL26" t="s">
        <v>73</v>
      </c>
      <c r="BM26" t="s">
        <v>73</v>
      </c>
      <c r="BN26" t="s">
        <v>73</v>
      </c>
      <c r="BO26" t="s">
        <v>73</v>
      </c>
      <c r="BP26" t="s">
        <v>73</v>
      </c>
      <c r="BQ26" s="1" t="s">
        <v>73</v>
      </c>
      <c r="BS26" s="1" t="s">
        <v>73</v>
      </c>
      <c r="BT26" s="1" t="s">
        <v>369</v>
      </c>
      <c r="BU26" s="1" t="s">
        <v>369</v>
      </c>
      <c r="BV26" s="1" t="s">
        <v>369</v>
      </c>
      <c r="BX26" t="s">
        <v>73</v>
      </c>
      <c r="CG26" s="1"/>
      <c r="CH26" s="1"/>
      <c r="CI26" s="1"/>
      <c r="CV26"/>
      <c r="CW26"/>
      <c r="CX26"/>
    </row>
    <row r="27" spans="1:102" ht="48" x14ac:dyDescent="0.2">
      <c r="A27" t="s">
        <v>135</v>
      </c>
      <c r="B27" t="s">
        <v>207</v>
      </c>
      <c r="C27" t="s">
        <v>236</v>
      </c>
      <c r="D27" s="1" t="s">
        <v>73</v>
      </c>
      <c r="E27" s="1" t="s">
        <v>72</v>
      </c>
      <c r="F27" s="1" t="s">
        <v>72</v>
      </c>
      <c r="G27" s="1" t="s">
        <v>73</v>
      </c>
      <c r="J27"/>
      <c r="K27"/>
      <c r="M27"/>
      <c r="Q27" s="1" t="s">
        <v>73</v>
      </c>
      <c r="R27" s="1" t="s">
        <v>73</v>
      </c>
      <c r="S27" s="1" t="s">
        <v>73</v>
      </c>
      <c r="T27"/>
      <c r="U27"/>
      <c r="V27"/>
      <c r="W27"/>
      <c r="X27"/>
      <c r="Y27"/>
      <c r="Z27" s="1" t="s">
        <v>73</v>
      </c>
      <c r="AA27" s="1" t="s">
        <v>73</v>
      </c>
      <c r="AB27"/>
      <c r="AC27"/>
      <c r="AD27"/>
      <c r="AE27"/>
      <c r="AF27"/>
      <c r="AG27"/>
      <c r="AH27"/>
      <c r="AI27"/>
      <c r="AJ27"/>
      <c r="AK27" s="1" t="s">
        <v>73</v>
      </c>
      <c r="AL27" s="1" t="s">
        <v>73</v>
      </c>
      <c r="AN27" s="1" t="s">
        <v>73</v>
      </c>
      <c r="AO27"/>
      <c r="AP27" s="1" t="s">
        <v>73</v>
      </c>
      <c r="AR27" s="1" t="s">
        <v>73</v>
      </c>
      <c r="AT27" s="1" t="s">
        <v>73</v>
      </c>
      <c r="AW27" s="1">
        <v>76</v>
      </c>
      <c r="AX27" s="1">
        <v>21</v>
      </c>
      <c r="AY27" t="s">
        <v>73</v>
      </c>
      <c r="AZ27" t="s">
        <v>73</v>
      </c>
      <c r="BA27" s="61" t="s">
        <v>400</v>
      </c>
      <c r="BB27">
        <v>1855</v>
      </c>
      <c r="BC27" s="85">
        <v>45643.499814814815</v>
      </c>
      <c r="BD27" s="85">
        <v>45658.737974537034</v>
      </c>
      <c r="BE27" t="s">
        <v>73</v>
      </c>
      <c r="BF27" t="s">
        <v>73</v>
      </c>
      <c r="BG27" t="s">
        <v>73</v>
      </c>
      <c r="BH27" t="s">
        <v>73</v>
      </c>
      <c r="BI27" t="s">
        <v>73</v>
      </c>
      <c r="BJ27" t="s">
        <v>73</v>
      </c>
      <c r="BL27" t="s">
        <v>73</v>
      </c>
      <c r="BM27" t="s">
        <v>73</v>
      </c>
      <c r="BN27" t="s">
        <v>73</v>
      </c>
      <c r="BO27" t="s">
        <v>73</v>
      </c>
      <c r="BP27" t="s">
        <v>73</v>
      </c>
      <c r="BQ27" s="1" t="s">
        <v>73</v>
      </c>
      <c r="BS27" s="1" t="s">
        <v>73</v>
      </c>
      <c r="BT27" s="1" t="s">
        <v>369</v>
      </c>
      <c r="BU27" s="1" t="s">
        <v>369</v>
      </c>
      <c r="BV27" s="1" t="s">
        <v>369</v>
      </c>
      <c r="BX27" t="s">
        <v>73</v>
      </c>
      <c r="CG27" s="1"/>
      <c r="CH27" s="1"/>
      <c r="CI27" s="1"/>
      <c r="CV27"/>
      <c r="CW27"/>
      <c r="CX27"/>
    </row>
    <row r="28" spans="1:102" ht="96" x14ac:dyDescent="0.2">
      <c r="A28" t="s">
        <v>135</v>
      </c>
      <c r="B28" t="s">
        <v>175</v>
      </c>
      <c r="C28" t="s">
        <v>155</v>
      </c>
      <c r="D28" s="1" t="s">
        <v>73</v>
      </c>
      <c r="E28" s="1" t="s">
        <v>72</v>
      </c>
      <c r="F28" s="1" t="s">
        <v>73</v>
      </c>
      <c r="G28" s="1" t="s">
        <v>73</v>
      </c>
      <c r="I28" s="1">
        <v>8</v>
      </c>
      <c r="J28"/>
      <c r="K28"/>
      <c r="M28"/>
      <c r="Q28" s="1" t="s">
        <v>73</v>
      </c>
      <c r="R28" s="1" t="s">
        <v>73</v>
      </c>
      <c r="S28" s="1" t="s">
        <v>73</v>
      </c>
      <c r="T28"/>
      <c r="U28"/>
      <c r="V28"/>
      <c r="W28"/>
      <c r="X28"/>
      <c r="Y28"/>
      <c r="Z28" s="1" t="s">
        <v>73</v>
      </c>
      <c r="AA28" s="1" t="s">
        <v>73</v>
      </c>
      <c r="AB28"/>
      <c r="AC28"/>
      <c r="AD28"/>
      <c r="AE28"/>
      <c r="AF28"/>
      <c r="AG28"/>
      <c r="AH28"/>
      <c r="AI28"/>
      <c r="AJ28"/>
      <c r="AK28" s="1" t="s">
        <v>73</v>
      </c>
      <c r="AL28" s="1" t="s">
        <v>73</v>
      </c>
      <c r="AN28" s="1" t="s">
        <v>73</v>
      </c>
      <c r="AO28"/>
      <c r="AP28" s="1" t="s">
        <v>73</v>
      </c>
      <c r="AR28" s="1" t="s">
        <v>73</v>
      </c>
      <c r="AT28" s="1" t="s">
        <v>73</v>
      </c>
      <c r="AW28" s="1">
        <v>12</v>
      </c>
      <c r="AX28" s="1">
        <v>0</v>
      </c>
      <c r="AY28" t="s">
        <v>73</v>
      </c>
      <c r="AZ28" t="s">
        <v>73</v>
      </c>
      <c r="BA28" s="61" t="s">
        <v>156</v>
      </c>
      <c r="BB28">
        <v>1821</v>
      </c>
      <c r="BC28" s="85">
        <v>45635.785624999997</v>
      </c>
      <c r="BD28" s="85">
        <v>45635.750081018516</v>
      </c>
      <c r="BE28" t="s">
        <v>73</v>
      </c>
      <c r="BF28" t="s">
        <v>73</v>
      </c>
      <c r="BG28" t="s">
        <v>73</v>
      </c>
      <c r="BH28" t="s">
        <v>73</v>
      </c>
      <c r="BI28" t="s">
        <v>73</v>
      </c>
      <c r="BJ28" t="s">
        <v>73</v>
      </c>
      <c r="BL28" t="s">
        <v>73</v>
      </c>
      <c r="BM28" t="s">
        <v>73</v>
      </c>
      <c r="BN28" t="s">
        <v>73</v>
      </c>
      <c r="BO28" t="s">
        <v>73</v>
      </c>
      <c r="BP28" t="s">
        <v>73</v>
      </c>
      <c r="BQ28" s="1" t="s">
        <v>73</v>
      </c>
      <c r="BS28" s="1" t="s">
        <v>73</v>
      </c>
      <c r="BT28" s="1" t="s">
        <v>369</v>
      </c>
      <c r="BU28" s="1" t="s">
        <v>369</v>
      </c>
      <c r="BV28" s="1" t="s">
        <v>369</v>
      </c>
      <c r="BX28" t="s">
        <v>73</v>
      </c>
      <c r="CG28" s="1"/>
      <c r="CH28" s="1"/>
      <c r="CI28" s="1"/>
      <c r="CV28"/>
      <c r="CW28"/>
      <c r="CX28"/>
    </row>
    <row r="29" spans="1:102" ht="16" x14ac:dyDescent="0.2">
      <c r="A29" t="s">
        <v>135</v>
      </c>
      <c r="B29" t="s">
        <v>176</v>
      </c>
      <c r="C29" t="s">
        <v>149</v>
      </c>
      <c r="D29" s="1" t="s">
        <v>73</v>
      </c>
      <c r="E29" s="1" t="s">
        <v>72</v>
      </c>
      <c r="F29" s="1" t="s">
        <v>73</v>
      </c>
      <c r="G29" s="1" t="s">
        <v>73</v>
      </c>
      <c r="I29" s="1">
        <v>6</v>
      </c>
      <c r="J29"/>
      <c r="K29"/>
      <c r="M29"/>
      <c r="Q29" s="1" t="s">
        <v>73</v>
      </c>
      <c r="R29" s="1" t="s">
        <v>73</v>
      </c>
      <c r="S29" s="1" t="s">
        <v>73</v>
      </c>
      <c r="T29"/>
      <c r="U29"/>
      <c r="V29"/>
      <c r="W29"/>
      <c r="X29"/>
      <c r="Y29"/>
      <c r="Z29" s="1" t="s">
        <v>73</v>
      </c>
      <c r="AA29" s="1" t="s">
        <v>73</v>
      </c>
      <c r="AB29"/>
      <c r="AC29"/>
      <c r="AD29"/>
      <c r="AE29"/>
      <c r="AF29"/>
      <c r="AG29"/>
      <c r="AH29"/>
      <c r="AI29"/>
      <c r="AJ29"/>
      <c r="AK29" s="1" t="s">
        <v>73</v>
      </c>
      <c r="AL29" s="1" t="s">
        <v>72</v>
      </c>
      <c r="AM29">
        <v>4</v>
      </c>
      <c r="AN29" s="1" t="s">
        <v>73</v>
      </c>
      <c r="AO29"/>
      <c r="AP29" s="1" t="s">
        <v>73</v>
      </c>
      <c r="AR29" s="1" t="s">
        <v>73</v>
      </c>
      <c r="AT29" s="1" t="s">
        <v>73</v>
      </c>
      <c r="AW29" s="1">
        <v>35</v>
      </c>
      <c r="AX29" s="1">
        <v>2</v>
      </c>
      <c r="AY29" t="s">
        <v>73</v>
      </c>
      <c r="AZ29" t="s">
        <v>73</v>
      </c>
      <c r="BA29" s="61" t="s">
        <v>73</v>
      </c>
      <c r="BB29">
        <v>1815</v>
      </c>
      <c r="BC29" s="85">
        <v>45634.680821759262</v>
      </c>
      <c r="BD29" s="85">
        <v>45634.639155092591</v>
      </c>
      <c r="BE29" t="s">
        <v>73</v>
      </c>
      <c r="BF29" t="s">
        <v>73</v>
      </c>
      <c r="BG29" t="s">
        <v>73</v>
      </c>
      <c r="BH29" t="s">
        <v>73</v>
      </c>
      <c r="BI29" t="s">
        <v>73</v>
      </c>
      <c r="BJ29" t="s">
        <v>73</v>
      </c>
      <c r="BL29" t="s">
        <v>73</v>
      </c>
      <c r="BM29" t="s">
        <v>73</v>
      </c>
      <c r="BN29" t="s">
        <v>73</v>
      </c>
      <c r="BO29" t="s">
        <v>73</v>
      </c>
      <c r="BP29" t="s">
        <v>73</v>
      </c>
      <c r="BQ29" s="1" t="s">
        <v>73</v>
      </c>
      <c r="BS29" s="1" t="s">
        <v>73</v>
      </c>
      <c r="BT29" s="1" t="s">
        <v>369</v>
      </c>
      <c r="BU29" s="1" t="s">
        <v>369</v>
      </c>
      <c r="BV29" s="1" t="s">
        <v>369</v>
      </c>
      <c r="BX29" t="s">
        <v>73</v>
      </c>
      <c r="CG29" s="1"/>
      <c r="CH29" s="1"/>
      <c r="CI29" s="1"/>
      <c r="CV29"/>
      <c r="CW29"/>
      <c r="CX29"/>
    </row>
    <row r="30" spans="1:102" ht="16" x14ac:dyDescent="0.2">
      <c r="A30" t="s">
        <v>135</v>
      </c>
      <c r="B30" t="s">
        <v>177</v>
      </c>
      <c r="C30" t="s">
        <v>148</v>
      </c>
      <c r="D30" s="1" t="s">
        <v>73</v>
      </c>
      <c r="E30" s="1" t="s">
        <v>72</v>
      </c>
      <c r="F30" s="1" t="s">
        <v>72</v>
      </c>
      <c r="G30" s="1" t="s">
        <v>73</v>
      </c>
      <c r="I30" s="1">
        <v>4</v>
      </c>
      <c r="J30"/>
      <c r="K30"/>
      <c r="L30" s="1">
        <v>3</v>
      </c>
      <c r="M30"/>
      <c r="Q30" s="1" t="s">
        <v>73</v>
      </c>
      <c r="R30" s="1" t="s">
        <v>73</v>
      </c>
      <c r="S30" s="1" t="s">
        <v>73</v>
      </c>
      <c r="T30"/>
      <c r="U30"/>
      <c r="V30"/>
      <c r="W30"/>
      <c r="X30"/>
      <c r="Y30"/>
      <c r="Z30" s="1" t="s">
        <v>73</v>
      </c>
      <c r="AA30" s="1" t="s">
        <v>73</v>
      </c>
      <c r="AB30"/>
      <c r="AC30"/>
      <c r="AD30"/>
      <c r="AE30"/>
      <c r="AF30"/>
      <c r="AG30"/>
      <c r="AH30"/>
      <c r="AI30"/>
      <c r="AJ30"/>
      <c r="AK30" s="1" t="s">
        <v>73</v>
      </c>
      <c r="AL30" s="1" t="s">
        <v>72</v>
      </c>
      <c r="AM30">
        <v>4</v>
      </c>
      <c r="AN30" s="1" t="s">
        <v>72</v>
      </c>
      <c r="AO30">
        <v>4</v>
      </c>
      <c r="AP30" s="1" t="s">
        <v>73</v>
      </c>
      <c r="AR30" s="1" t="s">
        <v>72</v>
      </c>
      <c r="AS30">
        <v>4</v>
      </c>
      <c r="AT30" s="1" t="s">
        <v>73</v>
      </c>
      <c r="AW30" s="1">
        <v>50</v>
      </c>
      <c r="AX30" s="1">
        <v>3</v>
      </c>
      <c r="AY30" t="s">
        <v>73</v>
      </c>
      <c r="AZ30" t="s">
        <v>73</v>
      </c>
      <c r="BA30" s="61" t="s">
        <v>73</v>
      </c>
      <c r="BB30">
        <v>1814</v>
      </c>
      <c r="BC30" s="85">
        <v>45631.918958333335</v>
      </c>
      <c r="BD30" s="85">
        <v>45631.877291666664</v>
      </c>
      <c r="BE30" t="s">
        <v>73</v>
      </c>
      <c r="BF30" t="s">
        <v>73</v>
      </c>
      <c r="BG30" t="s">
        <v>73</v>
      </c>
      <c r="BH30" t="s">
        <v>73</v>
      </c>
      <c r="BI30" t="s">
        <v>73</v>
      </c>
      <c r="BJ30" t="s">
        <v>73</v>
      </c>
      <c r="BL30" t="s">
        <v>73</v>
      </c>
      <c r="BM30" t="s">
        <v>73</v>
      </c>
      <c r="BN30" t="s">
        <v>73</v>
      </c>
      <c r="BO30" t="s">
        <v>73</v>
      </c>
      <c r="BP30" t="s">
        <v>73</v>
      </c>
      <c r="BQ30" s="1" t="s">
        <v>73</v>
      </c>
      <c r="BS30" s="1" t="s">
        <v>73</v>
      </c>
      <c r="BT30" s="1" t="s">
        <v>369</v>
      </c>
      <c r="BU30" s="1" t="s">
        <v>369</v>
      </c>
      <c r="BV30" s="1" t="s">
        <v>369</v>
      </c>
      <c r="BX30" t="s">
        <v>73</v>
      </c>
      <c r="CG30" s="1"/>
      <c r="CH30" s="1"/>
      <c r="CI30" s="1"/>
      <c r="CV30"/>
      <c r="CW30"/>
      <c r="CX30"/>
    </row>
    <row r="31" spans="1:102" ht="17" thickBot="1" x14ac:dyDescent="0.25">
      <c r="A31" t="s">
        <v>135</v>
      </c>
      <c r="B31" t="s">
        <v>178</v>
      </c>
      <c r="C31" t="s">
        <v>132</v>
      </c>
      <c r="D31" s="1" t="s">
        <v>73</v>
      </c>
      <c r="E31" s="1" t="s">
        <v>72</v>
      </c>
      <c r="F31" s="1" t="s">
        <v>72</v>
      </c>
      <c r="G31" s="1" t="s">
        <v>73</v>
      </c>
      <c r="J31"/>
      <c r="K31"/>
      <c r="M31"/>
      <c r="Q31" s="1" t="s">
        <v>73</v>
      </c>
      <c r="R31" s="1" t="s">
        <v>73</v>
      </c>
      <c r="S31" s="1" t="s">
        <v>73</v>
      </c>
      <c r="T31"/>
      <c r="U31"/>
      <c r="V31"/>
      <c r="W31"/>
      <c r="X31"/>
      <c r="Y31"/>
      <c r="Z31" s="1" t="s">
        <v>73</v>
      </c>
      <c r="AA31" s="1" t="s">
        <v>73</v>
      </c>
      <c r="AB31"/>
      <c r="AC31"/>
      <c r="AD31"/>
      <c r="AE31"/>
      <c r="AF31"/>
      <c r="AG31"/>
      <c r="AH31"/>
      <c r="AI31"/>
      <c r="AJ31"/>
      <c r="AK31" s="1" t="s">
        <v>73</v>
      </c>
      <c r="AL31" s="1" t="s">
        <v>72</v>
      </c>
      <c r="AM31">
        <v>6</v>
      </c>
      <c r="AN31" s="1" t="s">
        <v>72</v>
      </c>
      <c r="AO31">
        <v>6</v>
      </c>
      <c r="AP31" s="1" t="s">
        <v>72</v>
      </c>
      <c r="AQ31">
        <v>6</v>
      </c>
      <c r="AR31" s="1" t="s">
        <v>72</v>
      </c>
      <c r="AS31">
        <v>6</v>
      </c>
      <c r="AT31" s="1" t="s">
        <v>72</v>
      </c>
      <c r="AU31" s="1">
        <v>1</v>
      </c>
      <c r="AV31" s="1">
        <v>1</v>
      </c>
      <c r="AW31" s="1">
        <v>25</v>
      </c>
      <c r="AX31" s="1">
        <v>3</v>
      </c>
      <c r="AY31" t="s">
        <v>73</v>
      </c>
      <c r="AZ31" t="s">
        <v>73</v>
      </c>
      <c r="BA31" s="61" t="s">
        <v>73</v>
      </c>
      <c r="BB31">
        <v>1807</v>
      </c>
      <c r="BC31" s="85">
        <v>45619.272326388891</v>
      </c>
      <c r="BD31" s="85">
        <v>45631.710601851853</v>
      </c>
      <c r="BE31" t="s">
        <v>73</v>
      </c>
      <c r="BF31" t="s">
        <v>73</v>
      </c>
      <c r="BG31" t="s">
        <v>73</v>
      </c>
      <c r="BH31" t="s">
        <v>73</v>
      </c>
      <c r="BI31" t="s">
        <v>73</v>
      </c>
      <c r="BJ31" t="s">
        <v>73</v>
      </c>
      <c r="BL31" t="s">
        <v>73</v>
      </c>
      <c r="BM31" t="s">
        <v>73</v>
      </c>
      <c r="BN31" t="s">
        <v>73</v>
      </c>
      <c r="BO31" t="s">
        <v>73</v>
      </c>
      <c r="BP31" t="s">
        <v>73</v>
      </c>
      <c r="BQ31" s="1" t="s">
        <v>73</v>
      </c>
      <c r="BS31" s="1" t="s">
        <v>73</v>
      </c>
      <c r="BT31" s="1" t="s">
        <v>369</v>
      </c>
      <c r="BU31" s="1" t="s">
        <v>369</v>
      </c>
      <c r="BV31" s="1" t="s">
        <v>369</v>
      </c>
      <c r="BX31" t="s">
        <v>73</v>
      </c>
      <c r="CG31" s="1"/>
      <c r="CH31" s="1"/>
      <c r="CI31" s="1"/>
      <c r="CV31"/>
      <c r="CW31"/>
      <c r="CX31"/>
    </row>
    <row r="32" spans="1:102" ht="16" thickTop="1" x14ac:dyDescent="0.2">
      <c r="A32" t="s">
        <v>79</v>
      </c>
      <c r="C32">
        <f>SUBTOTAL(103,KDA[Naam vereniging])</f>
        <v>25</v>
      </c>
      <c r="D32" s="1">
        <f>COUNTIF(KDA[Delegatie],"x")</f>
        <v>3</v>
      </c>
      <c r="E32" s="16">
        <f>COUNTIF(KDA[Muziekkorps bij mars en defilé],"x")</f>
        <v>21</v>
      </c>
      <c r="F32" s="16">
        <f>COUNTIF(KDA[Deeln. jeugdkoningschieten],"x")</f>
        <v>17</v>
      </c>
      <c r="G32" s="16">
        <f>COUNTIF(KDA[Maj. Senioren jureren bij mars],"x")</f>
        <v>2</v>
      </c>
      <c r="H32" s="16">
        <f>COUNTIF(KDA[Maj. Jeugd jureren bij mars],"x")</f>
        <v>1</v>
      </c>
      <c r="I32" s="1">
        <f>SUBTOTAL(103,KDA[Korps senioren])</f>
        <v>20</v>
      </c>
      <c r="J32" s="1">
        <f>SUBTOTAL(103,KDA[Junioren korps 1])</f>
        <v>5</v>
      </c>
      <c r="K32" s="1">
        <f>SUBTOTAL(103,KDA[Junioren korps 2])</f>
        <v>0</v>
      </c>
      <c r="L32" s="1">
        <f>SUBTOTAL(103,KDA[Aspiranten korps 1])</f>
        <v>6</v>
      </c>
      <c r="M32" s="1">
        <f>SUBTOTAL(103,KDA[Aspiranten korps 2])</f>
        <v>0</v>
      </c>
      <c r="N32" s="1">
        <f>SUBTOTAL(103,KDA[Acrobatisch senioren])</f>
        <v>2</v>
      </c>
      <c r="O32" s="1">
        <f>SUBTOTAL(103,KDA[Acrobatisch junioren])</f>
        <v>0</v>
      </c>
      <c r="P32" s="1">
        <f>SUBTOTAL(103,KDA[Acrobatisch aspiranten])</f>
        <v>0</v>
      </c>
      <c r="T32" s="79">
        <f>SUBTOTAL(109,KDA[Senioren indiv.])</f>
        <v>6</v>
      </c>
      <c r="U32" s="79">
        <f>SUBTOTAL(109,KDA[Junioren indiv.])</f>
        <v>1</v>
      </c>
      <c r="V32" s="1">
        <f>SUBTOTAL(109,KDA[Aspiranten indiv.])</f>
        <v>1</v>
      </c>
      <c r="W32" s="1">
        <f>SUBTOTAL(109,KDA[Sen. ind opgegeven namen])</f>
        <v>6</v>
      </c>
      <c r="X32" s="1">
        <f>SUBTOTAL(109,KDA[Jun. ind opgegeven namen])</f>
        <v>1</v>
      </c>
      <c r="Y32" s="1">
        <f>SUBTOTAL(109,KDA[Asp. ind opgegeven namen])</f>
        <v>1</v>
      </c>
      <c r="Z32" s="16">
        <f>COUNTIF(KDA[Hoofdkorps],"x")</f>
        <v>4</v>
      </c>
      <c r="AA32" s="117">
        <f>COUNTIF(KDA[2e korps],"x")</f>
        <v>0</v>
      </c>
      <c r="AB32" s="1">
        <f>SUBTOTAL(109,KDA[Groepen, teams, ensembles en duo''s])</f>
        <v>16</v>
      </c>
      <c r="AC32" s="1">
        <f>SUBTOTAL(109,KDA[Senioren])</f>
        <v>25</v>
      </c>
      <c r="AD32" s="1">
        <f>SUBTOTAL(109,KDA[Jong volwassene])</f>
        <v>1</v>
      </c>
      <c r="AE32" s="1">
        <f>SUBTOTAL(109,KDA[Junioren])</f>
        <v>1</v>
      </c>
      <c r="AF32" s="1">
        <f>SUBTOTAL(109,KDA[Aspiranten])</f>
        <v>0</v>
      </c>
      <c r="AG32" s="1">
        <f>SUBTOTAL(109,KDA[Opgegeven senioren])</f>
        <v>21</v>
      </c>
      <c r="AH32" s="1">
        <f>SUBTOTAL(109,KDA[Opgegeven jong volwassene])</f>
        <v>1</v>
      </c>
      <c r="AI32" s="1">
        <f>SUBTOTAL(109,KDA[Opgegeven junioren])</f>
        <v>1</v>
      </c>
      <c r="AJ32" s="1">
        <f>SUBTOTAL(109,KDA[Opgegeven aspiranten])</f>
        <v>0</v>
      </c>
      <c r="AK32" s="1">
        <f>COUNTIF(KDA[Marketentsters],"x")</f>
        <v>1</v>
      </c>
      <c r="AL32" s="1">
        <f>COUNTIF(KDA[Luchtgeweer],"x")</f>
        <v>17</v>
      </c>
      <c r="AM32">
        <f>SUBTOTAL(109,KDA[Aantal luchtgeweerschutters])</f>
        <v>95</v>
      </c>
      <c r="AN32" s="1">
        <f>COUNTIF(KDA[Luchtpistool],"x")</f>
        <v>14</v>
      </c>
      <c r="AO32" s="1">
        <f>SUBTOTAL(109,KDA[Aantal luchtpistoolschutters])</f>
        <v>76</v>
      </c>
      <c r="AP32" s="1">
        <f>COUNTIF(KDA[Handboog],"x")</f>
        <v>3</v>
      </c>
      <c r="AQ32">
        <f>SUBTOTAL(109,KDA[Aantal handboogschutters])</f>
        <v>18</v>
      </c>
      <c r="AR32" s="1">
        <f>COUNTIF(KDA[Kruisboog],"x")</f>
        <v>13</v>
      </c>
      <c r="AS32" s="1">
        <f>SUBTOTAL(109,KDA[Aantal kruisboogschutters])</f>
        <v>75</v>
      </c>
      <c r="AT32" s="1">
        <f>COUNTIF(KDA[Luchtgeweer jeugd niet ouder dan 17 jaar.],"x")</f>
        <v>5</v>
      </c>
      <c r="AU32" s="1">
        <f>SUBTOTAL(109,KDA[Aantal korpsen])</f>
        <v>9</v>
      </c>
      <c r="AV32" s="1">
        <f>SUBTOTAL(109,KDA[Opgegeven jeugdkorpsen LG])</f>
        <v>8</v>
      </c>
      <c r="AW32" s="1">
        <f>SUBTOTAL(109,KDA[Totaal aantal deelnemers])</f>
        <v>983</v>
      </c>
      <c r="AX32" s="1">
        <f>SUBTOTAL(109,KDA[Waarvan aantal jeugd (t/m 15 jaar)])</f>
        <v>133</v>
      </c>
      <c r="AY32" s="84">
        <f>COUNTIF(KDA[Kanon etc.],"x")</f>
        <v>3</v>
      </c>
      <c r="AZ32" s="1">
        <f>COUNTIF(KDA[Paarden en/of koetsen],"x")</f>
        <v>0</v>
      </c>
      <c r="BA32" s="63"/>
      <c r="BB32" s="1"/>
      <c r="BC32" s="1"/>
      <c r="BD32" s="1"/>
      <c r="BE32" s="1"/>
      <c r="BF32" s="1"/>
      <c r="BG32" s="1"/>
      <c r="BH32" s="1"/>
      <c r="BI32" s="1"/>
      <c r="BJ32" s="1"/>
      <c r="BK32" s="1"/>
      <c r="BL32" s="1"/>
      <c r="BM32" s="1"/>
      <c r="BN32" s="1"/>
      <c r="BO32" s="1"/>
      <c r="BP32" s="1"/>
      <c r="BQ32" s="1"/>
      <c r="BR32" s="1"/>
      <c r="BS32" s="1"/>
      <c r="BT32" s="1"/>
      <c r="BU32" s="1"/>
      <c r="BV32" s="1"/>
      <c r="BW32" s="1">
        <f>SUBTOTAL(109,KDA[Aantal opgegeven majorettes])</f>
        <v>40</v>
      </c>
      <c r="CG32" s="1"/>
      <c r="CH32" s="1"/>
      <c r="CI32" s="1"/>
      <c r="CV32"/>
      <c r="CW32"/>
      <c r="CX32"/>
    </row>
  </sheetData>
  <mergeCells count="14">
    <mergeCell ref="A1:CK1"/>
    <mergeCell ref="A2:CK2"/>
    <mergeCell ref="D3:H3"/>
    <mergeCell ref="I3:Y3"/>
    <mergeCell ref="Z3:AA3"/>
    <mergeCell ref="AL3:AV3"/>
    <mergeCell ref="BE3:BR3"/>
    <mergeCell ref="BS3:CE3"/>
    <mergeCell ref="AW3:BD3"/>
    <mergeCell ref="N4:P4"/>
    <mergeCell ref="Q4:S4"/>
    <mergeCell ref="T4:Y4"/>
    <mergeCell ref="BE4:BK4"/>
    <mergeCell ref="BL4:BR4"/>
  </mergeCells>
  <phoneticPr fontId="2" type="noConversion"/>
  <conditionalFormatting sqref="W6:W31">
    <cfRule type="expression" dxfId="26" priority="6">
      <formula>$T6-$W6&lt;&gt;0</formula>
    </cfRule>
  </conditionalFormatting>
  <conditionalFormatting sqref="X6:X31">
    <cfRule type="expression" dxfId="25" priority="7">
      <formula>$U6-$X6&lt;&gt;0</formula>
    </cfRule>
  </conditionalFormatting>
  <conditionalFormatting sqref="Y6:Y31">
    <cfRule type="expression" dxfId="24" priority="8">
      <formula>$V6-$Y6&lt;&gt;0</formula>
    </cfRule>
  </conditionalFormatting>
  <conditionalFormatting sqref="AG6:AG31">
    <cfRule type="expression" dxfId="23" priority="5">
      <formula>$AC6-$AG6&lt;&gt;0</formula>
    </cfRule>
  </conditionalFormatting>
  <conditionalFormatting sqref="AH6:AH31">
    <cfRule type="expression" dxfId="22" priority="4">
      <formula>$AD6-$AH6&lt;&gt;0</formula>
    </cfRule>
  </conditionalFormatting>
  <conditionalFormatting sqref="AI6:AI31">
    <cfRule type="expression" dxfId="21" priority="3">
      <formula>$AE6-$AI6&lt;&gt;0</formula>
    </cfRule>
  </conditionalFormatting>
  <conditionalFormatting sqref="AJ6:AJ31">
    <cfRule type="expression" dxfId="20" priority="2">
      <formula>$AF6-$AJ6&lt;&gt;0</formula>
    </cfRule>
  </conditionalFormatting>
  <conditionalFormatting sqref="AV6:AV31">
    <cfRule type="expression" dxfId="19" priority="1">
      <formula>$AU6-$AV6&lt;&gt;0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07CA-0AAA-4DAD-9D01-38C57DE0F2FF}">
  <dimension ref="A1:CG22"/>
  <sheetViews>
    <sheetView zoomScale="110" zoomScaleNormal="110" workbookViewId="0">
      <pane xSplit="3" ySplit="6" topLeftCell="AZ20" activePane="bottomRight" state="frozen"/>
      <selection pane="topRight" activeCell="D1" sqref="D1"/>
      <selection pane="bottomLeft" activeCell="A7" sqref="A7"/>
      <selection pane="bottomRight" activeCell="A23" sqref="A23:XFD35"/>
    </sheetView>
  </sheetViews>
  <sheetFormatPr baseColWidth="10" defaultColWidth="9.1640625" defaultRowHeight="15" x14ac:dyDescent="0.2"/>
  <cols>
    <col min="1" max="1" width="11.5" bestFit="1" customWidth="1"/>
    <col min="2" max="2" width="8.6640625" bestFit="1" customWidth="1"/>
    <col min="3" max="3" width="58.83203125" bestFit="1" customWidth="1"/>
    <col min="4" max="4" width="3.5" style="1" bestFit="1" customWidth="1"/>
    <col min="5" max="8" width="8.5" style="1" bestFit="1" customWidth="1"/>
    <col min="9" max="9" width="8.5" style="1" customWidth="1"/>
    <col min="10" max="16" width="8.5" style="1" bestFit="1" customWidth="1"/>
    <col min="17" max="19" width="7.6640625" style="1" hidden="1" customWidth="1"/>
    <col min="20" max="26" width="8.5" style="1" bestFit="1" customWidth="1"/>
    <col min="27" max="27" width="7.6640625" style="1" hidden="1" customWidth="1"/>
    <col min="28" max="32" width="8.5" style="1" bestFit="1" customWidth="1"/>
    <col min="33" max="36" width="3.5" style="1" bestFit="1" customWidth="1"/>
    <col min="37" max="38" width="8.5" style="1" bestFit="1" customWidth="1"/>
    <col min="39" max="39" width="3.5" style="1" bestFit="1" customWidth="1"/>
    <col min="40" max="40" width="8.5" style="1" bestFit="1" customWidth="1"/>
    <col min="41" max="41" width="3.5" style="1" bestFit="1" customWidth="1"/>
    <col min="42" max="42" width="8.5" style="1" hidden="1" customWidth="1"/>
    <col min="43" max="43" width="3.5" style="1" hidden="1" customWidth="1"/>
    <col min="44" max="44" width="8.5" style="61" bestFit="1" customWidth="1"/>
    <col min="45" max="45" width="3.5" bestFit="1" customWidth="1"/>
    <col min="46" max="47" width="8.5" bestFit="1" customWidth="1"/>
    <col min="48" max="48" width="3.5" bestFit="1" customWidth="1"/>
    <col min="49" max="49" width="8.5" style="63" bestFit="1" customWidth="1"/>
    <col min="50" max="50" width="8.5" style="1" bestFit="1" customWidth="1"/>
    <col min="51" max="52" width="8.5" bestFit="1" customWidth="1"/>
    <col min="53" max="53" width="60.33203125" bestFit="1" customWidth="1"/>
    <col min="54" max="54" width="8.5" bestFit="1" customWidth="1"/>
    <col min="55" max="56" width="15" bestFit="1" customWidth="1"/>
    <col min="57" max="57" width="29.1640625" bestFit="1" customWidth="1"/>
    <col min="58" max="58" width="8.5" bestFit="1" customWidth="1"/>
    <col min="59" max="59" width="20" bestFit="1" customWidth="1"/>
    <col min="60" max="60" width="28.33203125" bestFit="1" customWidth="1"/>
    <col min="61" max="61" width="21.83203125" bestFit="1" customWidth="1"/>
    <col min="62" max="62" width="21.1640625" bestFit="1" customWidth="1"/>
    <col min="63" max="63" width="8.5" bestFit="1" customWidth="1"/>
    <col min="64" max="70" width="7.6640625" hidden="1" customWidth="1"/>
    <col min="71" max="71" width="8.5" bestFit="1" customWidth="1"/>
    <col min="72" max="72" width="17.6640625" bestFit="1" customWidth="1"/>
    <col min="73" max="73" width="20.5" bestFit="1" customWidth="1"/>
    <col min="74" max="74" width="17.5" bestFit="1" customWidth="1"/>
    <col min="75" max="75" width="8.5" bestFit="1" customWidth="1"/>
    <col min="76" max="76" width="39.33203125" style="1" bestFit="1" customWidth="1"/>
    <col min="77" max="77" width="42" style="1" bestFit="1" customWidth="1"/>
    <col min="78" max="78" width="35.6640625" style="1" bestFit="1" customWidth="1"/>
    <col min="79" max="80" width="7.6640625" style="1" bestFit="1" customWidth="1"/>
    <col min="81" max="81" width="10.1640625" style="1" bestFit="1" customWidth="1"/>
    <col min="82" max="82" width="15.6640625" style="1" bestFit="1" customWidth="1"/>
  </cols>
  <sheetData>
    <row r="1" spans="1:85" ht="27" customHeight="1" x14ac:dyDescent="0.2">
      <c r="A1" s="148" t="s">
        <v>83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72"/>
      <c r="BY1" s="72"/>
      <c r="BZ1" s="72"/>
      <c r="CA1" s="72"/>
      <c r="CB1" s="72"/>
      <c r="CC1" s="72"/>
      <c r="CD1" s="72"/>
    </row>
    <row r="2" spans="1:85" ht="20" thickBot="1" x14ac:dyDescent="0.3">
      <c r="A2" s="149" t="s">
        <v>142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73"/>
      <c r="BY2" s="73"/>
      <c r="BZ2" s="73"/>
      <c r="CA2" s="73"/>
      <c r="CB2" s="73"/>
      <c r="CC2" s="73"/>
      <c r="CD2" s="73"/>
    </row>
    <row r="3" spans="1:85" ht="16" thickBot="1" x14ac:dyDescent="0.25">
      <c r="A3" s="20"/>
      <c r="B3" s="21"/>
      <c r="C3" s="22"/>
      <c r="D3" s="139" t="s">
        <v>1</v>
      </c>
      <c r="E3" s="140"/>
      <c r="F3" s="140"/>
      <c r="G3" s="140"/>
      <c r="H3" s="141"/>
      <c r="I3" s="142" t="s">
        <v>2</v>
      </c>
      <c r="J3" s="143"/>
      <c r="K3" s="143"/>
      <c r="L3" s="143"/>
      <c r="M3" s="143"/>
      <c r="N3" s="143"/>
      <c r="O3" s="143"/>
      <c r="P3" s="143"/>
      <c r="Q3" s="143"/>
      <c r="R3" s="143"/>
      <c r="S3" s="143"/>
      <c r="T3" s="143"/>
      <c r="U3" s="143"/>
      <c r="V3" s="143"/>
      <c r="W3" s="143"/>
      <c r="X3" s="143"/>
      <c r="Y3" s="144"/>
      <c r="Z3" s="139" t="s">
        <v>3</v>
      </c>
      <c r="AA3" s="141"/>
      <c r="AB3" s="26" t="s">
        <v>4</v>
      </c>
      <c r="AC3" s="93" t="s">
        <v>5</v>
      </c>
      <c r="AD3" s="94"/>
      <c r="AE3" s="94"/>
      <c r="AF3" s="94"/>
      <c r="AG3" s="94"/>
      <c r="AH3" s="94"/>
      <c r="AI3" s="94"/>
      <c r="AJ3" s="95"/>
      <c r="AK3" s="26" t="s">
        <v>6</v>
      </c>
      <c r="AL3" s="139" t="s">
        <v>7</v>
      </c>
      <c r="AM3" s="140"/>
      <c r="AN3" s="140"/>
      <c r="AO3" s="140"/>
      <c r="AP3" s="140"/>
      <c r="AQ3" s="140"/>
      <c r="AR3" s="140"/>
      <c r="AS3" s="140"/>
      <c r="AT3" s="140"/>
      <c r="AU3" s="140"/>
      <c r="AV3" s="141"/>
      <c r="AW3" s="139" t="s">
        <v>8</v>
      </c>
      <c r="AX3" s="140"/>
      <c r="AY3" s="140"/>
      <c r="AZ3" s="140"/>
      <c r="BA3" s="140"/>
      <c r="BB3" s="140"/>
      <c r="BC3" s="140"/>
      <c r="BD3" s="141"/>
      <c r="BE3" s="142" t="s">
        <v>9</v>
      </c>
      <c r="BF3" s="143"/>
      <c r="BG3" s="143"/>
      <c r="BH3" s="143"/>
      <c r="BI3" s="143"/>
      <c r="BJ3" s="143"/>
      <c r="BK3" s="143"/>
      <c r="BL3" s="143"/>
      <c r="BM3" s="143"/>
      <c r="BN3" s="143"/>
      <c r="BO3" s="143"/>
      <c r="BP3" s="143"/>
      <c r="BQ3" s="143"/>
      <c r="BR3" s="143"/>
      <c r="BS3" s="145" t="s">
        <v>10</v>
      </c>
      <c r="BT3" s="146"/>
      <c r="BU3" s="146"/>
      <c r="BV3" s="146"/>
      <c r="BW3" s="147"/>
      <c r="BX3"/>
      <c r="BY3"/>
      <c r="BZ3"/>
      <c r="CA3"/>
      <c r="CB3"/>
      <c r="CC3"/>
      <c r="CD3"/>
    </row>
    <row r="4" spans="1:85" ht="16" thickBot="1" x14ac:dyDescent="0.25">
      <c r="A4" s="23"/>
      <c r="B4" s="24"/>
      <c r="C4" s="25"/>
      <c r="D4" s="23"/>
      <c r="E4" s="24"/>
      <c r="F4" s="24"/>
      <c r="G4" s="24"/>
      <c r="H4" s="25"/>
      <c r="I4" s="142" t="s">
        <v>11</v>
      </c>
      <c r="J4" s="143"/>
      <c r="K4" s="143"/>
      <c r="L4" s="143"/>
      <c r="M4" s="144"/>
      <c r="N4" s="142" t="s">
        <v>88</v>
      </c>
      <c r="O4" s="143"/>
      <c r="P4" s="144"/>
      <c r="Q4" s="142" t="s">
        <v>13</v>
      </c>
      <c r="R4" s="143"/>
      <c r="S4" s="144"/>
      <c r="T4" s="142" t="s">
        <v>14</v>
      </c>
      <c r="U4" s="143"/>
      <c r="V4" s="143"/>
      <c r="W4" s="143"/>
      <c r="X4" s="143"/>
      <c r="Y4" s="144"/>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62"/>
      <c r="BB4" s="24"/>
      <c r="BC4" s="24"/>
      <c r="BD4" s="25"/>
      <c r="BE4" s="142" t="s">
        <v>15</v>
      </c>
      <c r="BF4" s="143"/>
      <c r="BG4" s="143"/>
      <c r="BH4" s="143"/>
      <c r="BI4" s="143"/>
      <c r="BJ4" s="143"/>
      <c r="BK4" s="144"/>
      <c r="BL4" s="142" t="s">
        <v>16</v>
      </c>
      <c r="BM4" s="143"/>
      <c r="BN4" s="143"/>
      <c r="BO4" s="143"/>
      <c r="BP4" s="143"/>
      <c r="BQ4" s="143"/>
      <c r="BR4" s="144"/>
      <c r="BS4" s="119"/>
      <c r="BT4" s="97"/>
      <c r="BU4" s="97"/>
      <c r="BV4" s="97"/>
      <c r="BW4" s="98"/>
      <c r="BX4" s="34"/>
      <c r="BY4" s="34"/>
      <c r="BZ4"/>
      <c r="CA4"/>
      <c r="CB4"/>
      <c r="CC4"/>
      <c r="CD4"/>
    </row>
    <row r="5" spans="1:85" ht="6.75" hidden="1" customHeight="1" x14ac:dyDescent="0.2">
      <c r="AR5" s="63"/>
      <c r="AS5" s="1"/>
      <c r="AT5" s="1"/>
      <c r="AU5" s="1"/>
      <c r="AV5" s="1"/>
      <c r="AY5" s="1"/>
      <c r="AZ5" s="1"/>
      <c r="BA5" s="1"/>
      <c r="BB5" s="1"/>
      <c r="BC5" s="1"/>
      <c r="BD5" s="1"/>
      <c r="BE5" s="1"/>
      <c r="BF5" s="1"/>
      <c r="BG5" s="1"/>
      <c r="BH5" s="1"/>
      <c r="BI5" s="1"/>
      <c r="BJ5" s="1"/>
      <c r="BK5" s="1"/>
      <c r="BL5" s="1"/>
      <c r="BM5" s="1"/>
      <c r="BN5" s="1"/>
      <c r="BO5" s="1"/>
      <c r="BP5" s="1"/>
      <c r="BQ5" s="1"/>
      <c r="BR5" s="1"/>
      <c r="BS5" s="1"/>
      <c r="BT5" s="1"/>
      <c r="BU5" s="1"/>
      <c r="BV5" s="1"/>
      <c r="BW5" s="1"/>
      <c r="CE5" s="1"/>
      <c r="CF5" s="1"/>
      <c r="CG5" s="1"/>
    </row>
    <row r="6" spans="1:85" s="2" customFormat="1" ht="213"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2" t="s">
        <v>112</v>
      </c>
      <c r="AH6" s="92" t="s">
        <v>113</v>
      </c>
      <c r="AI6" s="92" t="s">
        <v>114</v>
      </c>
      <c r="AJ6" s="99" t="s">
        <v>115</v>
      </c>
      <c r="AK6" s="14" t="s">
        <v>41</v>
      </c>
      <c r="AL6" s="9" t="s">
        <v>42</v>
      </c>
      <c r="AM6" s="92" t="s">
        <v>122</v>
      </c>
      <c r="AN6" s="10" t="s">
        <v>43</v>
      </c>
      <c r="AO6" s="92" t="s">
        <v>123</v>
      </c>
      <c r="AP6" s="10" t="s">
        <v>45</v>
      </c>
      <c r="AQ6" s="92" t="s">
        <v>124</v>
      </c>
      <c r="AR6" s="10" t="s">
        <v>44</v>
      </c>
      <c r="AS6" s="92" t="s">
        <v>125</v>
      </c>
      <c r="AT6" s="10" t="s">
        <v>116</v>
      </c>
      <c r="AU6" s="10" t="s">
        <v>117</v>
      </c>
      <c r="AV6" s="92" t="s">
        <v>118</v>
      </c>
      <c r="AW6" s="9" t="s">
        <v>46</v>
      </c>
      <c r="AX6" s="10" t="s">
        <v>47</v>
      </c>
      <c r="AY6" s="10" t="s">
        <v>48</v>
      </c>
      <c r="AZ6" s="10" t="s">
        <v>49</v>
      </c>
      <c r="BA6" s="96"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row>
    <row r="7" spans="1:85" ht="48" x14ac:dyDescent="0.2">
      <c r="A7" t="s">
        <v>136</v>
      </c>
      <c r="B7" t="s">
        <v>359</v>
      </c>
      <c r="C7" t="s">
        <v>360</v>
      </c>
      <c r="D7" s="1" t="s">
        <v>73</v>
      </c>
      <c r="E7" s="1" t="s">
        <v>72</v>
      </c>
      <c r="F7" s="1" t="s">
        <v>72</v>
      </c>
      <c r="G7" s="1" t="s">
        <v>73</v>
      </c>
      <c r="J7">
        <v>1</v>
      </c>
      <c r="K7"/>
      <c r="L7"/>
      <c r="M7"/>
      <c r="Q7" s="1" t="s">
        <v>73</v>
      </c>
      <c r="R7" s="1" t="s">
        <v>73</v>
      </c>
      <c r="S7" s="1" t="s">
        <v>73</v>
      </c>
      <c r="Z7" s="1" t="s">
        <v>73</v>
      </c>
      <c r="AA7" s="1" t="s">
        <v>73</v>
      </c>
      <c r="AB7"/>
      <c r="AD7"/>
      <c r="AG7"/>
      <c r="AH7"/>
      <c r="AI7"/>
      <c r="AJ7"/>
      <c r="AK7" s="1" t="s">
        <v>72</v>
      </c>
      <c r="AL7" s="1" t="s">
        <v>72</v>
      </c>
      <c r="AM7">
        <v>6</v>
      </c>
      <c r="AN7" s="1" t="s">
        <v>73</v>
      </c>
      <c r="AO7"/>
      <c r="AP7" s="1" t="s">
        <v>73</v>
      </c>
      <c r="AQ7"/>
      <c r="AR7" s="1" t="s">
        <v>72</v>
      </c>
      <c r="AS7">
        <v>6</v>
      </c>
      <c r="AT7" t="s">
        <v>72</v>
      </c>
      <c r="AU7">
        <v>1</v>
      </c>
      <c r="AW7" s="1">
        <v>25</v>
      </c>
      <c r="AX7" s="1">
        <v>6</v>
      </c>
      <c r="AY7" t="s">
        <v>73</v>
      </c>
      <c r="AZ7" t="s">
        <v>73</v>
      </c>
      <c r="BA7" s="61" t="s">
        <v>361</v>
      </c>
      <c r="BB7">
        <v>1981</v>
      </c>
      <c r="BC7" s="85">
        <v>45656.850648148145</v>
      </c>
      <c r="BD7" s="85">
        <v>45656.808981481481</v>
      </c>
      <c r="BE7" t="s">
        <v>73</v>
      </c>
      <c r="BF7" t="s">
        <v>73</v>
      </c>
      <c r="BG7" t="s">
        <v>73</v>
      </c>
      <c r="BH7" t="s">
        <v>73</v>
      </c>
      <c r="BI7" t="s">
        <v>73</v>
      </c>
      <c r="BJ7" t="s">
        <v>73</v>
      </c>
      <c r="BL7" t="s">
        <v>73</v>
      </c>
      <c r="BM7" t="s">
        <v>73</v>
      </c>
      <c r="BN7" t="s">
        <v>73</v>
      </c>
      <c r="BO7" t="s">
        <v>73</v>
      </c>
      <c r="BP7" t="s">
        <v>73</v>
      </c>
      <c r="BQ7" s="1" t="s">
        <v>73</v>
      </c>
      <c r="BR7" s="1"/>
      <c r="BS7" s="1" t="s">
        <v>73</v>
      </c>
      <c r="BT7" s="1" t="s">
        <v>369</v>
      </c>
      <c r="BU7" s="1" t="s">
        <v>369</v>
      </c>
      <c r="BV7" s="1" t="s">
        <v>369</v>
      </c>
      <c r="BW7" s="1"/>
      <c r="BX7"/>
      <c r="BY7"/>
      <c r="BZ7"/>
      <c r="CA7"/>
      <c r="CB7"/>
      <c r="CC7"/>
      <c r="CD7"/>
    </row>
    <row r="8" spans="1:85" ht="16" x14ac:dyDescent="0.2">
      <c r="A8" t="s">
        <v>136</v>
      </c>
      <c r="B8" t="s">
        <v>345</v>
      </c>
      <c r="C8" t="s">
        <v>346</v>
      </c>
      <c r="D8" s="1" t="s">
        <v>73</v>
      </c>
      <c r="E8" s="1" t="s">
        <v>72</v>
      </c>
      <c r="F8" s="1" t="s">
        <v>73</v>
      </c>
      <c r="G8" s="1" t="s">
        <v>73</v>
      </c>
      <c r="I8" s="1">
        <v>10</v>
      </c>
      <c r="J8"/>
      <c r="K8"/>
      <c r="L8">
        <v>4</v>
      </c>
      <c r="M8"/>
      <c r="Q8" s="1" t="s">
        <v>73</v>
      </c>
      <c r="R8" s="1" t="s">
        <v>73</v>
      </c>
      <c r="S8" s="1" t="s">
        <v>73</v>
      </c>
      <c r="T8" s="1">
        <v>1</v>
      </c>
      <c r="W8" s="1">
        <v>1</v>
      </c>
      <c r="Z8" s="1" t="s">
        <v>73</v>
      </c>
      <c r="AA8" s="1" t="s">
        <v>73</v>
      </c>
      <c r="AB8"/>
      <c r="AC8" s="1">
        <v>4</v>
      </c>
      <c r="AD8"/>
      <c r="AG8">
        <v>4</v>
      </c>
      <c r="AH8"/>
      <c r="AI8"/>
      <c r="AJ8"/>
      <c r="AK8" s="1" t="s">
        <v>72</v>
      </c>
      <c r="AL8" s="1" t="s">
        <v>72</v>
      </c>
      <c r="AM8">
        <v>6</v>
      </c>
      <c r="AN8" s="1" t="s">
        <v>72</v>
      </c>
      <c r="AO8">
        <v>6</v>
      </c>
      <c r="AP8" s="1" t="s">
        <v>73</v>
      </c>
      <c r="AQ8"/>
      <c r="AR8" s="1" t="s">
        <v>72</v>
      </c>
      <c r="AS8">
        <v>6</v>
      </c>
      <c r="AT8" t="s">
        <v>72</v>
      </c>
      <c r="AU8">
        <v>1</v>
      </c>
      <c r="AV8">
        <v>1</v>
      </c>
      <c r="AW8" s="1">
        <v>65</v>
      </c>
      <c r="AX8" s="1">
        <v>12</v>
      </c>
      <c r="AY8" t="s">
        <v>72</v>
      </c>
      <c r="AZ8" t="s">
        <v>73</v>
      </c>
      <c r="BA8" s="61" t="s">
        <v>73</v>
      </c>
      <c r="BB8">
        <v>1974</v>
      </c>
      <c r="BC8" s="85">
        <v>45656.486018518517</v>
      </c>
      <c r="BD8" s="85">
        <v>45656.444351851853</v>
      </c>
      <c r="BE8" t="s">
        <v>73</v>
      </c>
      <c r="BF8" t="s">
        <v>73</v>
      </c>
      <c r="BG8" t="s">
        <v>73</v>
      </c>
      <c r="BH8" t="s">
        <v>73</v>
      </c>
      <c r="BI8" t="s">
        <v>73</v>
      </c>
      <c r="BJ8" t="s">
        <v>73</v>
      </c>
      <c r="BL8" t="s">
        <v>73</v>
      </c>
      <c r="BM8" t="s">
        <v>73</v>
      </c>
      <c r="BN8" t="s">
        <v>73</v>
      </c>
      <c r="BO8" t="s">
        <v>73</v>
      </c>
      <c r="BP8" t="s">
        <v>73</v>
      </c>
      <c r="BQ8" s="1" t="s">
        <v>73</v>
      </c>
      <c r="BR8" s="1"/>
      <c r="BS8" s="1" t="s">
        <v>73</v>
      </c>
      <c r="BT8" s="1" t="s">
        <v>369</v>
      </c>
      <c r="BU8" s="1" t="s">
        <v>369</v>
      </c>
      <c r="BV8" s="1" t="s">
        <v>369</v>
      </c>
      <c r="BW8" s="1"/>
      <c r="BX8"/>
      <c r="BY8"/>
      <c r="BZ8"/>
      <c r="CA8"/>
      <c r="CB8"/>
      <c r="CC8"/>
      <c r="CD8"/>
    </row>
    <row r="9" spans="1:85" ht="16" x14ac:dyDescent="0.2">
      <c r="A9" t="s">
        <v>136</v>
      </c>
      <c r="B9" t="s">
        <v>309</v>
      </c>
      <c r="C9" t="s">
        <v>310</v>
      </c>
      <c r="D9" s="1" t="s">
        <v>73</v>
      </c>
      <c r="E9" s="1" t="s">
        <v>72</v>
      </c>
      <c r="F9" s="1" t="s">
        <v>72</v>
      </c>
      <c r="G9" s="1" t="s">
        <v>73</v>
      </c>
      <c r="I9" s="1">
        <v>14</v>
      </c>
      <c r="J9">
        <v>3</v>
      </c>
      <c r="K9"/>
      <c r="L9"/>
      <c r="M9"/>
      <c r="N9" s="1">
        <v>4</v>
      </c>
      <c r="O9" s="1">
        <v>3</v>
      </c>
      <c r="Q9" s="1" t="s">
        <v>73</v>
      </c>
      <c r="R9" s="1" t="s">
        <v>73</v>
      </c>
      <c r="S9" s="1" t="s">
        <v>73</v>
      </c>
      <c r="T9" s="1">
        <v>3</v>
      </c>
      <c r="U9" s="1">
        <v>2</v>
      </c>
      <c r="W9" s="1">
        <v>2</v>
      </c>
      <c r="X9" s="1">
        <v>2</v>
      </c>
      <c r="Y9" s="1">
        <v>1</v>
      </c>
      <c r="Z9" s="1" t="s">
        <v>73</v>
      </c>
      <c r="AA9" s="1" t="s">
        <v>73</v>
      </c>
      <c r="AB9"/>
      <c r="AC9" s="1">
        <v>2</v>
      </c>
      <c r="AD9">
        <v>1</v>
      </c>
      <c r="AE9" s="1">
        <v>1</v>
      </c>
      <c r="AG9">
        <v>2</v>
      </c>
      <c r="AH9">
        <v>1</v>
      </c>
      <c r="AI9">
        <v>1</v>
      </c>
      <c r="AJ9"/>
      <c r="AK9" s="1" t="s">
        <v>73</v>
      </c>
      <c r="AL9" s="1" t="s">
        <v>72</v>
      </c>
      <c r="AM9">
        <v>4</v>
      </c>
      <c r="AN9" s="1" t="s">
        <v>72</v>
      </c>
      <c r="AO9">
        <v>4</v>
      </c>
      <c r="AP9" s="1" t="s">
        <v>73</v>
      </c>
      <c r="AQ9"/>
      <c r="AR9" s="1" t="s">
        <v>72</v>
      </c>
      <c r="AS9">
        <v>4</v>
      </c>
      <c r="AT9" t="s">
        <v>72</v>
      </c>
      <c r="AU9">
        <v>2</v>
      </c>
      <c r="AW9" s="1">
        <v>50</v>
      </c>
      <c r="AX9" s="1">
        <v>5</v>
      </c>
      <c r="AY9" t="s">
        <v>72</v>
      </c>
      <c r="AZ9" t="s">
        <v>73</v>
      </c>
      <c r="BA9" s="61" t="s">
        <v>73</v>
      </c>
      <c r="BB9">
        <v>1947</v>
      </c>
      <c r="BC9" s="85">
        <v>45653.784594907411</v>
      </c>
      <c r="BD9" s="85">
        <v>45653.742928240739</v>
      </c>
      <c r="BE9" t="s">
        <v>73</v>
      </c>
      <c r="BF9" t="s">
        <v>73</v>
      </c>
      <c r="BG9" t="s">
        <v>73</v>
      </c>
      <c r="BH9" t="s">
        <v>73</v>
      </c>
      <c r="BI9" t="s">
        <v>73</v>
      </c>
      <c r="BJ9" t="s">
        <v>73</v>
      </c>
      <c r="BL9" t="s">
        <v>73</v>
      </c>
      <c r="BM9" t="s">
        <v>73</v>
      </c>
      <c r="BN9" t="s">
        <v>73</v>
      </c>
      <c r="BO9" t="s">
        <v>73</v>
      </c>
      <c r="BP9" t="s">
        <v>73</v>
      </c>
      <c r="BQ9" s="1" t="s">
        <v>73</v>
      </c>
      <c r="BR9" s="1"/>
      <c r="BS9" s="1" t="s">
        <v>73</v>
      </c>
      <c r="BT9" s="1" t="s">
        <v>369</v>
      </c>
      <c r="BU9" s="1" t="s">
        <v>369</v>
      </c>
      <c r="BV9" s="1" t="s">
        <v>369</v>
      </c>
      <c r="BW9" s="1"/>
      <c r="BX9"/>
      <c r="BY9"/>
      <c r="BZ9"/>
      <c r="CA9"/>
      <c r="CB9"/>
      <c r="CC9"/>
      <c r="CD9"/>
    </row>
    <row r="10" spans="1:85" ht="16" x14ac:dyDescent="0.2">
      <c r="A10" t="s">
        <v>136</v>
      </c>
      <c r="B10" t="s">
        <v>299</v>
      </c>
      <c r="C10" t="s">
        <v>300</v>
      </c>
      <c r="D10" s="1" t="s">
        <v>73</v>
      </c>
      <c r="E10" s="1" t="s">
        <v>72</v>
      </c>
      <c r="F10" s="1" t="s">
        <v>72</v>
      </c>
      <c r="G10" s="1" t="s">
        <v>73</v>
      </c>
      <c r="J10"/>
      <c r="K10"/>
      <c r="L10"/>
      <c r="M10"/>
      <c r="Q10" s="1" t="s">
        <v>73</v>
      </c>
      <c r="R10" s="1" t="s">
        <v>73</v>
      </c>
      <c r="S10" s="1" t="s">
        <v>73</v>
      </c>
      <c r="Z10" s="1" t="s">
        <v>72</v>
      </c>
      <c r="AA10" s="1" t="s">
        <v>73</v>
      </c>
      <c r="AB10"/>
      <c r="AD10"/>
      <c r="AG10"/>
      <c r="AH10"/>
      <c r="AI10"/>
      <c r="AJ10"/>
      <c r="AK10" s="1" t="s">
        <v>73</v>
      </c>
      <c r="AL10" s="1" t="s">
        <v>73</v>
      </c>
      <c r="AM10"/>
      <c r="AN10" s="1" t="s">
        <v>73</v>
      </c>
      <c r="AO10"/>
      <c r="AP10" s="1" t="s">
        <v>73</v>
      </c>
      <c r="AQ10"/>
      <c r="AR10" s="1" t="s">
        <v>73</v>
      </c>
      <c r="AT10" t="s">
        <v>73</v>
      </c>
      <c r="AW10" s="1">
        <v>30</v>
      </c>
      <c r="AX10" s="1">
        <v>2</v>
      </c>
      <c r="AY10" t="s">
        <v>73</v>
      </c>
      <c r="AZ10" t="s">
        <v>73</v>
      </c>
      <c r="BA10" s="61" t="s">
        <v>73</v>
      </c>
      <c r="BB10">
        <v>1933</v>
      </c>
      <c r="BC10" s="85">
        <v>45652.817465277774</v>
      </c>
      <c r="BD10" s="85">
        <v>45652.77579861111</v>
      </c>
      <c r="BE10" t="s">
        <v>300</v>
      </c>
      <c r="BF10" t="s">
        <v>78</v>
      </c>
      <c r="BG10" t="s">
        <v>76</v>
      </c>
      <c r="BH10" t="s">
        <v>162</v>
      </c>
      <c r="BI10" t="s">
        <v>301</v>
      </c>
      <c r="BJ10" t="s">
        <v>302</v>
      </c>
      <c r="BK10">
        <v>16</v>
      </c>
      <c r="BL10" t="s">
        <v>73</v>
      </c>
      <c r="BM10" t="s">
        <v>73</v>
      </c>
      <c r="BN10" t="s">
        <v>73</v>
      </c>
      <c r="BO10" t="s">
        <v>73</v>
      </c>
      <c r="BP10" t="s">
        <v>73</v>
      </c>
      <c r="BQ10" s="1" t="s">
        <v>73</v>
      </c>
      <c r="BR10" s="1"/>
      <c r="BS10" s="1" t="s">
        <v>73</v>
      </c>
      <c r="BT10" s="1" t="s">
        <v>369</v>
      </c>
      <c r="BU10" s="1" t="s">
        <v>369</v>
      </c>
      <c r="BV10" s="1" t="s">
        <v>369</v>
      </c>
      <c r="BW10" s="1"/>
      <c r="BX10"/>
      <c r="BY10"/>
      <c r="BZ10"/>
      <c r="CA10"/>
      <c r="CB10"/>
      <c r="CC10"/>
      <c r="CD10"/>
    </row>
    <row r="11" spans="1:85" ht="16" x14ac:dyDescent="0.2">
      <c r="A11" t="s">
        <v>136</v>
      </c>
      <c r="B11" t="s">
        <v>288</v>
      </c>
      <c r="C11" t="s">
        <v>289</v>
      </c>
      <c r="D11" s="1" t="s">
        <v>72</v>
      </c>
      <c r="E11" s="1" t="s">
        <v>73</v>
      </c>
      <c r="F11" s="1" t="s">
        <v>73</v>
      </c>
      <c r="G11" s="1" t="s">
        <v>73</v>
      </c>
      <c r="J11"/>
      <c r="K11"/>
      <c r="L11"/>
      <c r="M11"/>
      <c r="Q11" s="1" t="s">
        <v>73</v>
      </c>
      <c r="R11" s="1" t="s">
        <v>73</v>
      </c>
      <c r="S11" s="1" t="s">
        <v>73</v>
      </c>
      <c r="Z11" s="1" t="s">
        <v>73</v>
      </c>
      <c r="AA11" s="1" t="s">
        <v>73</v>
      </c>
      <c r="AB11"/>
      <c r="AD11"/>
      <c r="AG11"/>
      <c r="AH11"/>
      <c r="AI11"/>
      <c r="AJ11"/>
      <c r="AK11" s="1" t="s">
        <v>73</v>
      </c>
      <c r="AL11" s="1" t="s">
        <v>73</v>
      </c>
      <c r="AM11"/>
      <c r="AN11" s="1" t="s">
        <v>73</v>
      </c>
      <c r="AO11"/>
      <c r="AP11" s="1" t="s">
        <v>73</v>
      </c>
      <c r="AQ11"/>
      <c r="AR11" s="1" t="s">
        <v>73</v>
      </c>
      <c r="AT11" t="s">
        <v>73</v>
      </c>
      <c r="AW11" s="1">
        <v>10</v>
      </c>
      <c r="AX11" s="1">
        <v>0</v>
      </c>
      <c r="AY11" t="s">
        <v>73</v>
      </c>
      <c r="AZ11" t="s">
        <v>73</v>
      </c>
      <c r="BA11" s="61" t="s">
        <v>73</v>
      </c>
      <c r="BB11">
        <v>1930</v>
      </c>
      <c r="BC11" s="85">
        <v>45652.55091435185</v>
      </c>
      <c r="BD11" s="85">
        <v>45652.509247685186</v>
      </c>
      <c r="BE11" t="s">
        <v>73</v>
      </c>
      <c r="BF11" t="s">
        <v>73</v>
      </c>
      <c r="BG11" t="s">
        <v>73</v>
      </c>
      <c r="BH11" t="s">
        <v>73</v>
      </c>
      <c r="BI11" t="s">
        <v>73</v>
      </c>
      <c r="BJ11" t="s">
        <v>73</v>
      </c>
      <c r="BL11" t="s">
        <v>73</v>
      </c>
      <c r="BM11" t="s">
        <v>73</v>
      </c>
      <c r="BN11" t="s">
        <v>73</v>
      </c>
      <c r="BO11" t="s">
        <v>73</v>
      </c>
      <c r="BP11" t="s">
        <v>73</v>
      </c>
      <c r="BQ11" s="1" t="s">
        <v>73</v>
      </c>
      <c r="BR11" s="1"/>
      <c r="BS11" s="1" t="s">
        <v>73</v>
      </c>
      <c r="BT11" s="1" t="s">
        <v>369</v>
      </c>
      <c r="BU11" s="1" t="s">
        <v>369</v>
      </c>
      <c r="BV11" s="1" t="s">
        <v>369</v>
      </c>
      <c r="BW11" s="1"/>
      <c r="BX11"/>
      <c r="BY11"/>
      <c r="BZ11"/>
      <c r="CA11"/>
      <c r="CB11"/>
      <c r="CC11"/>
      <c r="CD11"/>
    </row>
    <row r="12" spans="1:85" ht="16" x14ac:dyDescent="0.2">
      <c r="A12" t="s">
        <v>136</v>
      </c>
      <c r="B12" t="s">
        <v>200</v>
      </c>
      <c r="C12" t="s">
        <v>201</v>
      </c>
      <c r="D12" s="1" t="s">
        <v>73</v>
      </c>
      <c r="E12" s="1" t="s">
        <v>73</v>
      </c>
      <c r="F12" s="1" t="s">
        <v>72</v>
      </c>
      <c r="G12" s="1" t="s">
        <v>72</v>
      </c>
      <c r="H12" s="1" t="s">
        <v>74</v>
      </c>
      <c r="J12"/>
      <c r="K12"/>
      <c r="L12"/>
      <c r="M12"/>
      <c r="Q12" s="1" t="s">
        <v>73</v>
      </c>
      <c r="R12" s="1" t="s">
        <v>73</v>
      </c>
      <c r="S12" s="1" t="s">
        <v>73</v>
      </c>
      <c r="Z12" s="1" t="s">
        <v>73</v>
      </c>
      <c r="AA12" s="1" t="s">
        <v>73</v>
      </c>
      <c r="AB12">
        <v>3</v>
      </c>
      <c r="AC12" s="1">
        <v>6</v>
      </c>
      <c r="AD12"/>
      <c r="AG12">
        <v>6</v>
      </c>
      <c r="AH12"/>
      <c r="AI12"/>
      <c r="AJ12"/>
      <c r="AK12" s="1" t="s">
        <v>72</v>
      </c>
      <c r="AL12" s="1" t="s">
        <v>72</v>
      </c>
      <c r="AM12">
        <v>6</v>
      </c>
      <c r="AN12" s="1" t="s">
        <v>72</v>
      </c>
      <c r="AO12">
        <v>6</v>
      </c>
      <c r="AP12" s="1" t="s">
        <v>73</v>
      </c>
      <c r="AQ12"/>
      <c r="AR12" s="1" t="s">
        <v>72</v>
      </c>
      <c r="AS12">
        <v>6</v>
      </c>
      <c r="AT12" t="s">
        <v>72</v>
      </c>
      <c r="AU12">
        <v>1</v>
      </c>
      <c r="AV12">
        <v>1</v>
      </c>
      <c r="AW12" s="1">
        <v>70</v>
      </c>
      <c r="AX12" s="1">
        <v>15</v>
      </c>
      <c r="AY12" t="s">
        <v>73</v>
      </c>
      <c r="AZ12" t="s">
        <v>73</v>
      </c>
      <c r="BA12" s="61" t="s">
        <v>73</v>
      </c>
      <c r="BB12">
        <v>1921</v>
      </c>
      <c r="BC12" s="85">
        <v>45651.534745370373</v>
      </c>
      <c r="BD12" s="85">
        <v>45657.500254629631</v>
      </c>
      <c r="BE12" t="s">
        <v>73</v>
      </c>
      <c r="BF12" t="s">
        <v>73</v>
      </c>
      <c r="BG12" t="s">
        <v>73</v>
      </c>
      <c r="BH12" t="s">
        <v>73</v>
      </c>
      <c r="BI12" t="s">
        <v>73</v>
      </c>
      <c r="BJ12" t="s">
        <v>73</v>
      </c>
      <c r="BL12" t="s">
        <v>73</v>
      </c>
      <c r="BM12" t="s">
        <v>73</v>
      </c>
      <c r="BN12" t="s">
        <v>73</v>
      </c>
      <c r="BO12" t="s">
        <v>73</v>
      </c>
      <c r="BP12" t="s">
        <v>73</v>
      </c>
      <c r="BQ12" s="1" t="s">
        <v>73</v>
      </c>
      <c r="BR12" s="1"/>
      <c r="BS12" s="1" t="s">
        <v>75</v>
      </c>
      <c r="BT12" s="1" t="s">
        <v>394</v>
      </c>
      <c r="BU12" s="1" t="s">
        <v>395</v>
      </c>
      <c r="BV12" s="1" t="s">
        <v>396</v>
      </c>
      <c r="BW12" s="1">
        <v>14</v>
      </c>
      <c r="BX12"/>
      <c r="BY12"/>
      <c r="BZ12"/>
      <c r="CA12"/>
      <c r="CB12"/>
      <c r="CC12"/>
      <c r="CD12"/>
    </row>
    <row r="13" spans="1:85" ht="16" x14ac:dyDescent="0.2">
      <c r="A13" t="s">
        <v>136</v>
      </c>
      <c r="B13" t="s">
        <v>269</v>
      </c>
      <c r="C13" t="s">
        <v>270</v>
      </c>
      <c r="D13" s="1" t="s">
        <v>73</v>
      </c>
      <c r="E13" s="1" t="s">
        <v>72</v>
      </c>
      <c r="F13" s="1" t="s">
        <v>73</v>
      </c>
      <c r="G13" s="1" t="s">
        <v>73</v>
      </c>
      <c r="I13" s="1">
        <v>5</v>
      </c>
      <c r="J13">
        <v>5</v>
      </c>
      <c r="K13"/>
      <c r="L13"/>
      <c r="M13"/>
      <c r="Q13" s="1" t="s">
        <v>73</v>
      </c>
      <c r="R13" s="1" t="s">
        <v>73</v>
      </c>
      <c r="S13" s="1" t="s">
        <v>73</v>
      </c>
      <c r="Z13" s="1" t="s">
        <v>73</v>
      </c>
      <c r="AA13" s="1" t="s">
        <v>73</v>
      </c>
      <c r="AB13"/>
      <c r="AC13" s="1">
        <v>5</v>
      </c>
      <c r="AD13"/>
      <c r="AE13" s="1">
        <v>2</v>
      </c>
      <c r="AG13">
        <v>5</v>
      </c>
      <c r="AH13"/>
      <c r="AI13">
        <v>2</v>
      </c>
      <c r="AJ13"/>
      <c r="AK13" s="1" t="s">
        <v>73</v>
      </c>
      <c r="AL13" s="1" t="s">
        <v>72</v>
      </c>
      <c r="AM13">
        <v>3</v>
      </c>
      <c r="AN13" s="1" t="s">
        <v>72</v>
      </c>
      <c r="AO13">
        <v>3</v>
      </c>
      <c r="AP13" s="1" t="s">
        <v>73</v>
      </c>
      <c r="AQ13"/>
      <c r="AR13" s="1" t="s">
        <v>72</v>
      </c>
      <c r="AS13">
        <v>4</v>
      </c>
      <c r="AT13" t="s">
        <v>73</v>
      </c>
      <c r="AW13" s="1">
        <v>50</v>
      </c>
      <c r="AX13" s="1">
        <v>10</v>
      </c>
      <c r="AY13" t="s">
        <v>73</v>
      </c>
      <c r="AZ13" t="s">
        <v>73</v>
      </c>
      <c r="BA13" s="61" t="s">
        <v>73</v>
      </c>
      <c r="BB13">
        <v>1908</v>
      </c>
      <c r="BC13" s="85">
        <v>45649.608888888892</v>
      </c>
      <c r="BD13" s="85">
        <v>45649.56722222222</v>
      </c>
      <c r="BE13" t="s">
        <v>73</v>
      </c>
      <c r="BF13" t="s">
        <v>73</v>
      </c>
      <c r="BG13" t="s">
        <v>73</v>
      </c>
      <c r="BH13" t="s">
        <v>73</v>
      </c>
      <c r="BI13" t="s">
        <v>73</v>
      </c>
      <c r="BJ13" t="s">
        <v>73</v>
      </c>
      <c r="BL13" t="s">
        <v>73</v>
      </c>
      <c r="BM13" t="s">
        <v>73</v>
      </c>
      <c r="BN13" t="s">
        <v>73</v>
      </c>
      <c r="BO13" t="s">
        <v>73</v>
      </c>
      <c r="BP13" t="s">
        <v>73</v>
      </c>
      <c r="BQ13" s="1" t="s">
        <v>73</v>
      </c>
      <c r="BR13" s="1"/>
      <c r="BS13" s="1" t="s">
        <v>73</v>
      </c>
      <c r="BT13" s="1" t="s">
        <v>369</v>
      </c>
      <c r="BU13" s="1" t="s">
        <v>369</v>
      </c>
      <c r="BV13" s="1" t="s">
        <v>369</v>
      </c>
      <c r="BW13" s="1"/>
      <c r="BX13"/>
      <c r="BY13"/>
      <c r="BZ13"/>
      <c r="CA13"/>
      <c r="CB13"/>
      <c r="CC13"/>
      <c r="CD13"/>
    </row>
    <row r="14" spans="1:85" ht="16" x14ac:dyDescent="0.2">
      <c r="A14" t="s">
        <v>136</v>
      </c>
      <c r="B14" t="s">
        <v>226</v>
      </c>
      <c r="C14" t="s">
        <v>227</v>
      </c>
      <c r="D14" s="1" t="s">
        <v>73</v>
      </c>
      <c r="E14" s="1" t="s">
        <v>72</v>
      </c>
      <c r="F14" s="1" t="s">
        <v>72</v>
      </c>
      <c r="G14" s="1" t="s">
        <v>73</v>
      </c>
      <c r="I14" s="1">
        <v>5</v>
      </c>
      <c r="J14"/>
      <c r="K14"/>
      <c r="L14"/>
      <c r="M14"/>
      <c r="Q14" s="1" t="s">
        <v>73</v>
      </c>
      <c r="R14" s="1" t="s">
        <v>73</v>
      </c>
      <c r="S14" s="1" t="s">
        <v>73</v>
      </c>
      <c r="Z14" s="1" t="s">
        <v>73</v>
      </c>
      <c r="AA14" s="1" t="s">
        <v>73</v>
      </c>
      <c r="AB14"/>
      <c r="AD14"/>
      <c r="AG14"/>
      <c r="AH14"/>
      <c r="AI14"/>
      <c r="AJ14"/>
      <c r="AK14" s="1" t="s">
        <v>72</v>
      </c>
      <c r="AL14" s="1" t="s">
        <v>72</v>
      </c>
      <c r="AM14">
        <v>5</v>
      </c>
      <c r="AN14" s="1" t="s">
        <v>72</v>
      </c>
      <c r="AO14">
        <v>5</v>
      </c>
      <c r="AP14" s="1" t="s">
        <v>73</v>
      </c>
      <c r="AQ14"/>
      <c r="AR14" s="1" t="s">
        <v>72</v>
      </c>
      <c r="AS14">
        <v>5</v>
      </c>
      <c r="AT14" t="s">
        <v>73</v>
      </c>
      <c r="AW14" s="1">
        <v>40</v>
      </c>
      <c r="AX14" s="1">
        <v>1</v>
      </c>
      <c r="AY14" t="s">
        <v>73</v>
      </c>
      <c r="AZ14" t="s">
        <v>73</v>
      </c>
      <c r="BA14" s="61" t="s">
        <v>73</v>
      </c>
      <c r="BB14">
        <v>1865</v>
      </c>
      <c r="BC14" s="85">
        <v>45644.823645833334</v>
      </c>
      <c r="BD14" s="85">
        <v>45644.78197916667</v>
      </c>
      <c r="BE14" t="s">
        <v>73</v>
      </c>
      <c r="BF14" t="s">
        <v>73</v>
      </c>
      <c r="BG14" t="s">
        <v>73</v>
      </c>
      <c r="BH14" t="s">
        <v>73</v>
      </c>
      <c r="BI14" t="s">
        <v>73</v>
      </c>
      <c r="BJ14" t="s">
        <v>73</v>
      </c>
      <c r="BL14" t="s">
        <v>73</v>
      </c>
      <c r="BM14" t="s">
        <v>73</v>
      </c>
      <c r="BN14" t="s">
        <v>73</v>
      </c>
      <c r="BO14" t="s">
        <v>73</v>
      </c>
      <c r="BP14" t="s">
        <v>73</v>
      </c>
      <c r="BQ14" s="1" t="s">
        <v>73</v>
      </c>
      <c r="BR14" s="1"/>
      <c r="BS14" s="1" t="s">
        <v>73</v>
      </c>
      <c r="BT14" s="1" t="s">
        <v>369</v>
      </c>
      <c r="BU14" s="1" t="s">
        <v>369</v>
      </c>
      <c r="BV14" s="1" t="s">
        <v>369</v>
      </c>
      <c r="BW14" s="1"/>
      <c r="BX14"/>
      <c r="BY14"/>
      <c r="BZ14"/>
      <c r="CA14"/>
      <c r="CB14"/>
      <c r="CC14"/>
      <c r="CD14"/>
    </row>
    <row r="15" spans="1:85" ht="16" x14ac:dyDescent="0.2">
      <c r="A15" t="s">
        <v>136</v>
      </c>
      <c r="B15" t="s">
        <v>210</v>
      </c>
      <c r="C15" t="s">
        <v>211</v>
      </c>
      <c r="D15" s="1" t="s">
        <v>73</v>
      </c>
      <c r="E15" s="1" t="s">
        <v>72</v>
      </c>
      <c r="F15" s="1" t="s">
        <v>72</v>
      </c>
      <c r="G15" s="1" t="s">
        <v>73</v>
      </c>
      <c r="I15" s="1">
        <v>5</v>
      </c>
      <c r="J15">
        <v>3</v>
      </c>
      <c r="K15"/>
      <c r="L15"/>
      <c r="M15"/>
      <c r="N15" s="1">
        <v>4</v>
      </c>
      <c r="Q15" s="1" t="s">
        <v>73</v>
      </c>
      <c r="R15" s="1" t="s">
        <v>73</v>
      </c>
      <c r="S15" s="1" t="s">
        <v>73</v>
      </c>
      <c r="T15" s="1">
        <v>3</v>
      </c>
      <c r="U15" s="1">
        <v>1</v>
      </c>
      <c r="W15" s="1">
        <v>3</v>
      </c>
      <c r="X15" s="1">
        <v>1</v>
      </c>
      <c r="Z15" s="1" t="s">
        <v>73</v>
      </c>
      <c r="AA15" s="1" t="s">
        <v>73</v>
      </c>
      <c r="AB15"/>
      <c r="AD15"/>
      <c r="AG15"/>
      <c r="AH15"/>
      <c r="AI15"/>
      <c r="AJ15"/>
      <c r="AK15" s="1" t="s">
        <v>72</v>
      </c>
      <c r="AL15" s="1" t="s">
        <v>73</v>
      </c>
      <c r="AM15"/>
      <c r="AN15" s="1" t="s">
        <v>73</v>
      </c>
      <c r="AO15"/>
      <c r="AP15" s="1" t="s">
        <v>73</v>
      </c>
      <c r="AQ15"/>
      <c r="AR15" s="1" t="s">
        <v>73</v>
      </c>
      <c r="AT15" t="s">
        <v>73</v>
      </c>
      <c r="AW15" s="1">
        <v>32</v>
      </c>
      <c r="AX15" s="1">
        <v>7</v>
      </c>
      <c r="AY15" t="s">
        <v>73</v>
      </c>
      <c r="AZ15" t="s">
        <v>73</v>
      </c>
      <c r="BA15" s="61" t="s">
        <v>73</v>
      </c>
      <c r="BB15">
        <v>1847</v>
      </c>
      <c r="BC15" s="85">
        <v>45642.810335648152</v>
      </c>
      <c r="BD15" s="85">
        <v>45642.76866898148</v>
      </c>
      <c r="BE15" t="s">
        <v>73</v>
      </c>
      <c r="BF15" t="s">
        <v>73</v>
      </c>
      <c r="BG15" t="s">
        <v>73</v>
      </c>
      <c r="BH15" t="s">
        <v>73</v>
      </c>
      <c r="BI15" t="s">
        <v>73</v>
      </c>
      <c r="BJ15" t="s">
        <v>73</v>
      </c>
      <c r="BL15" t="s">
        <v>73</v>
      </c>
      <c r="BM15" t="s">
        <v>73</v>
      </c>
      <c r="BN15" t="s">
        <v>73</v>
      </c>
      <c r="BO15" t="s">
        <v>73</v>
      </c>
      <c r="BP15" t="s">
        <v>73</v>
      </c>
      <c r="BQ15" s="1" t="s">
        <v>73</v>
      </c>
      <c r="BR15" s="1"/>
      <c r="BS15" s="1" t="s">
        <v>73</v>
      </c>
      <c r="BT15" s="1" t="s">
        <v>369</v>
      </c>
      <c r="BU15" s="1" t="s">
        <v>369</v>
      </c>
      <c r="BV15" s="1" t="s">
        <v>369</v>
      </c>
      <c r="BW15" s="1"/>
      <c r="BX15"/>
      <c r="BY15"/>
      <c r="BZ15"/>
      <c r="CA15"/>
      <c r="CB15"/>
      <c r="CC15"/>
      <c r="CD15"/>
    </row>
    <row r="16" spans="1:85" ht="48" x14ac:dyDescent="0.2">
      <c r="A16" t="s">
        <v>136</v>
      </c>
      <c r="B16" t="s">
        <v>179</v>
      </c>
      <c r="C16" t="s">
        <v>170</v>
      </c>
      <c r="D16" s="1" t="s">
        <v>73</v>
      </c>
      <c r="E16" s="1" t="s">
        <v>72</v>
      </c>
      <c r="F16" s="1" t="s">
        <v>72</v>
      </c>
      <c r="G16" s="1" t="s">
        <v>73</v>
      </c>
      <c r="J16"/>
      <c r="K16"/>
      <c r="L16">
        <v>6</v>
      </c>
      <c r="M16"/>
      <c r="Q16" s="1" t="s">
        <v>73</v>
      </c>
      <c r="R16" s="1" t="s">
        <v>73</v>
      </c>
      <c r="S16" s="1" t="s">
        <v>73</v>
      </c>
      <c r="U16" s="1">
        <v>1</v>
      </c>
      <c r="V16" s="1">
        <v>5</v>
      </c>
      <c r="X16" s="1">
        <v>1</v>
      </c>
      <c r="Y16" s="1">
        <v>5</v>
      </c>
      <c r="Z16" s="1" t="s">
        <v>72</v>
      </c>
      <c r="AA16" s="1" t="s">
        <v>73</v>
      </c>
      <c r="AB16"/>
      <c r="AD16"/>
      <c r="AG16"/>
      <c r="AH16"/>
      <c r="AI16"/>
      <c r="AJ16"/>
      <c r="AK16" s="1" t="s">
        <v>73</v>
      </c>
      <c r="AL16" s="1" t="s">
        <v>73</v>
      </c>
      <c r="AM16"/>
      <c r="AN16" s="1" t="s">
        <v>73</v>
      </c>
      <c r="AO16"/>
      <c r="AP16" s="1" t="s">
        <v>73</v>
      </c>
      <c r="AQ16"/>
      <c r="AR16" s="1" t="s">
        <v>73</v>
      </c>
      <c r="AT16" t="s">
        <v>72</v>
      </c>
      <c r="AU16">
        <v>3</v>
      </c>
      <c r="AW16" s="1">
        <v>42</v>
      </c>
      <c r="AX16" s="1">
        <v>42</v>
      </c>
      <c r="AY16" t="s">
        <v>73</v>
      </c>
      <c r="AZ16" t="s">
        <v>73</v>
      </c>
      <c r="BA16" s="61" t="s">
        <v>160</v>
      </c>
      <c r="BB16">
        <v>1829</v>
      </c>
      <c r="BC16" s="85">
        <v>45639.322210648148</v>
      </c>
      <c r="BD16" s="85">
        <v>45639.287627314814</v>
      </c>
      <c r="BE16" t="s">
        <v>166</v>
      </c>
      <c r="BF16" t="s">
        <v>78</v>
      </c>
      <c r="BG16" t="s">
        <v>161</v>
      </c>
      <c r="BH16" t="s">
        <v>162</v>
      </c>
      <c r="BI16" t="s">
        <v>171</v>
      </c>
      <c r="BJ16" t="s">
        <v>171</v>
      </c>
      <c r="BK16">
        <v>23</v>
      </c>
      <c r="BL16" t="s">
        <v>73</v>
      </c>
      <c r="BM16" t="s">
        <v>73</v>
      </c>
      <c r="BN16" t="s">
        <v>73</v>
      </c>
      <c r="BO16" t="s">
        <v>73</v>
      </c>
      <c r="BP16" t="s">
        <v>73</v>
      </c>
      <c r="BQ16" s="1" t="s">
        <v>73</v>
      </c>
      <c r="BR16" s="1"/>
      <c r="BS16" s="1" t="s">
        <v>73</v>
      </c>
      <c r="BT16" s="1" t="s">
        <v>369</v>
      </c>
      <c r="BU16" s="1" t="s">
        <v>369</v>
      </c>
      <c r="BV16" s="1" t="s">
        <v>369</v>
      </c>
      <c r="BW16" s="1"/>
      <c r="BX16"/>
      <c r="BY16"/>
      <c r="BZ16"/>
      <c r="CA16"/>
      <c r="CB16"/>
      <c r="CC16"/>
      <c r="CD16"/>
    </row>
    <row r="17" spans="1:82" ht="16" x14ac:dyDescent="0.2">
      <c r="A17" t="s">
        <v>136</v>
      </c>
      <c r="B17" t="s">
        <v>180</v>
      </c>
      <c r="C17" t="s">
        <v>157</v>
      </c>
      <c r="D17" s="1" t="s">
        <v>72</v>
      </c>
      <c r="E17" s="1" t="s">
        <v>72</v>
      </c>
      <c r="F17" s="1" t="s">
        <v>73</v>
      </c>
      <c r="G17" s="1" t="s">
        <v>73</v>
      </c>
      <c r="J17"/>
      <c r="K17"/>
      <c r="L17"/>
      <c r="M17"/>
      <c r="Q17" s="1" t="s">
        <v>73</v>
      </c>
      <c r="R17" s="1" t="s">
        <v>73</v>
      </c>
      <c r="S17" s="1" t="s">
        <v>73</v>
      </c>
      <c r="T17" s="1">
        <v>4</v>
      </c>
      <c r="U17" s="1">
        <v>3</v>
      </c>
      <c r="W17" s="1">
        <v>4</v>
      </c>
      <c r="X17" s="1">
        <v>3</v>
      </c>
      <c r="Z17" s="1" t="s">
        <v>73</v>
      </c>
      <c r="AA17" s="1" t="s">
        <v>73</v>
      </c>
      <c r="AB17"/>
      <c r="AD17"/>
      <c r="AG17"/>
      <c r="AH17"/>
      <c r="AI17"/>
      <c r="AJ17"/>
      <c r="AK17" s="1" t="s">
        <v>73</v>
      </c>
      <c r="AL17" s="1" t="s">
        <v>73</v>
      </c>
      <c r="AM17"/>
      <c r="AN17" s="1" t="s">
        <v>73</v>
      </c>
      <c r="AO17"/>
      <c r="AP17" s="1" t="s">
        <v>73</v>
      </c>
      <c r="AQ17"/>
      <c r="AR17" s="1" t="s">
        <v>73</v>
      </c>
      <c r="AT17" t="s">
        <v>73</v>
      </c>
      <c r="AW17" s="1">
        <v>0</v>
      </c>
      <c r="AX17" s="1">
        <v>0</v>
      </c>
      <c r="AY17" t="s">
        <v>73</v>
      </c>
      <c r="AZ17" t="s">
        <v>73</v>
      </c>
      <c r="BA17" s="61" t="s">
        <v>158</v>
      </c>
      <c r="BB17">
        <v>1828</v>
      </c>
      <c r="BC17" s="85">
        <v>45638.651747685188</v>
      </c>
      <c r="BD17" s="85">
        <v>45639.807164351849</v>
      </c>
      <c r="BE17" t="s">
        <v>73</v>
      </c>
      <c r="BF17" t="s">
        <v>73</v>
      </c>
      <c r="BG17" t="s">
        <v>73</v>
      </c>
      <c r="BH17" t="s">
        <v>73</v>
      </c>
      <c r="BI17" t="s">
        <v>73</v>
      </c>
      <c r="BJ17" t="s">
        <v>73</v>
      </c>
      <c r="BL17" t="s">
        <v>73</v>
      </c>
      <c r="BM17" t="s">
        <v>73</v>
      </c>
      <c r="BN17" t="s">
        <v>73</v>
      </c>
      <c r="BO17" t="s">
        <v>73</v>
      </c>
      <c r="BP17" t="s">
        <v>73</v>
      </c>
      <c r="BQ17" s="1" t="s">
        <v>73</v>
      </c>
      <c r="BR17" s="1"/>
      <c r="BS17" s="1" t="s">
        <v>73</v>
      </c>
      <c r="BT17" s="1" t="s">
        <v>369</v>
      </c>
      <c r="BU17" s="1" t="s">
        <v>369</v>
      </c>
      <c r="BV17" s="1" t="s">
        <v>369</v>
      </c>
      <c r="BW17" s="1"/>
      <c r="BX17"/>
      <c r="BY17"/>
      <c r="BZ17"/>
      <c r="CA17"/>
      <c r="CB17"/>
      <c r="CC17"/>
      <c r="CD17"/>
    </row>
    <row r="18" spans="1:82" ht="48" x14ac:dyDescent="0.2">
      <c r="A18" t="s">
        <v>136</v>
      </c>
      <c r="B18" t="s">
        <v>181</v>
      </c>
      <c r="C18" t="s">
        <v>159</v>
      </c>
      <c r="D18" s="1" t="s">
        <v>73</v>
      </c>
      <c r="E18" s="1" t="s">
        <v>72</v>
      </c>
      <c r="F18" s="1" t="s">
        <v>73</v>
      </c>
      <c r="G18" s="1" t="s">
        <v>73</v>
      </c>
      <c r="I18" s="1">
        <v>7</v>
      </c>
      <c r="J18"/>
      <c r="K18"/>
      <c r="L18"/>
      <c r="M18"/>
      <c r="Q18" s="1" t="s">
        <v>73</v>
      </c>
      <c r="R18" s="1" t="s">
        <v>73</v>
      </c>
      <c r="S18" s="1" t="s">
        <v>73</v>
      </c>
      <c r="T18" s="1">
        <v>1</v>
      </c>
      <c r="W18" s="1">
        <v>1</v>
      </c>
      <c r="Z18" s="1" t="s">
        <v>72</v>
      </c>
      <c r="AA18" s="1" t="s">
        <v>73</v>
      </c>
      <c r="AB18"/>
      <c r="AD18"/>
      <c r="AG18"/>
      <c r="AH18"/>
      <c r="AI18"/>
      <c r="AJ18"/>
      <c r="AK18" s="1" t="s">
        <v>73</v>
      </c>
      <c r="AL18" s="1" t="s">
        <v>72</v>
      </c>
      <c r="AM18">
        <v>6</v>
      </c>
      <c r="AN18" s="1" t="s">
        <v>72</v>
      </c>
      <c r="AO18">
        <v>6</v>
      </c>
      <c r="AP18" s="1" t="s">
        <v>73</v>
      </c>
      <c r="AQ18"/>
      <c r="AR18" s="1" t="s">
        <v>72</v>
      </c>
      <c r="AS18">
        <v>6</v>
      </c>
      <c r="AT18" t="s">
        <v>73</v>
      </c>
      <c r="AW18" s="1">
        <v>90</v>
      </c>
      <c r="AX18" s="1">
        <v>0</v>
      </c>
      <c r="AY18" t="s">
        <v>73</v>
      </c>
      <c r="AZ18" t="s">
        <v>73</v>
      </c>
      <c r="BA18" s="61" t="s">
        <v>160</v>
      </c>
      <c r="BB18">
        <v>1825</v>
      </c>
      <c r="BC18" s="85">
        <v>45637.585219907407</v>
      </c>
      <c r="BD18" s="85">
        <v>45637.543553240743</v>
      </c>
      <c r="BE18" t="s">
        <v>159</v>
      </c>
      <c r="BF18" t="s">
        <v>78</v>
      </c>
      <c r="BG18" t="s">
        <v>161</v>
      </c>
      <c r="BH18" t="s">
        <v>162</v>
      </c>
      <c r="BI18" t="s">
        <v>163</v>
      </c>
      <c r="BJ18" t="s">
        <v>163</v>
      </c>
      <c r="BK18">
        <v>62</v>
      </c>
      <c r="BL18" t="s">
        <v>73</v>
      </c>
      <c r="BM18" t="s">
        <v>73</v>
      </c>
      <c r="BN18" t="s">
        <v>73</v>
      </c>
      <c r="BO18" t="s">
        <v>73</v>
      </c>
      <c r="BP18" t="s">
        <v>73</v>
      </c>
      <c r="BQ18" s="1" t="s">
        <v>73</v>
      </c>
      <c r="BR18" s="1"/>
      <c r="BS18" s="1" t="s">
        <v>73</v>
      </c>
      <c r="BT18" s="1" t="s">
        <v>369</v>
      </c>
      <c r="BU18" s="1" t="s">
        <v>369</v>
      </c>
      <c r="BV18" s="1" t="s">
        <v>369</v>
      </c>
      <c r="BW18" s="1"/>
      <c r="BX18"/>
      <c r="BY18"/>
      <c r="BZ18"/>
      <c r="CA18"/>
      <c r="CB18"/>
      <c r="CC18"/>
      <c r="CD18"/>
    </row>
    <row r="19" spans="1:82" ht="16" x14ac:dyDescent="0.2">
      <c r="A19" t="s">
        <v>136</v>
      </c>
      <c r="B19" t="s">
        <v>182</v>
      </c>
      <c r="C19" t="s">
        <v>150</v>
      </c>
      <c r="D19" s="1" t="s">
        <v>73</v>
      </c>
      <c r="E19" s="1" t="s">
        <v>72</v>
      </c>
      <c r="F19" s="1" t="s">
        <v>72</v>
      </c>
      <c r="G19" s="1" t="s">
        <v>73</v>
      </c>
      <c r="I19" s="1">
        <v>3</v>
      </c>
      <c r="J19"/>
      <c r="K19"/>
      <c r="L19"/>
      <c r="M19"/>
      <c r="Q19" s="1" t="s">
        <v>73</v>
      </c>
      <c r="R19" s="1" t="s">
        <v>73</v>
      </c>
      <c r="S19" s="1" t="s">
        <v>73</v>
      </c>
      <c r="Z19" s="1" t="s">
        <v>73</v>
      </c>
      <c r="AA19" s="1" t="s">
        <v>73</v>
      </c>
      <c r="AB19"/>
      <c r="AD19"/>
      <c r="AG19"/>
      <c r="AH19"/>
      <c r="AI19"/>
      <c r="AJ19"/>
      <c r="AK19" s="1" t="s">
        <v>73</v>
      </c>
      <c r="AL19" s="1" t="s">
        <v>72</v>
      </c>
      <c r="AM19">
        <v>6</v>
      </c>
      <c r="AN19" s="1" t="s">
        <v>72</v>
      </c>
      <c r="AO19">
        <v>6</v>
      </c>
      <c r="AP19" s="1" t="s">
        <v>73</v>
      </c>
      <c r="AQ19"/>
      <c r="AR19" s="1" t="s">
        <v>72</v>
      </c>
      <c r="AS19">
        <v>3</v>
      </c>
      <c r="AT19" t="s">
        <v>73</v>
      </c>
      <c r="AW19" s="1">
        <v>30</v>
      </c>
      <c r="AX19" s="1">
        <v>2</v>
      </c>
      <c r="AY19" t="s">
        <v>73</v>
      </c>
      <c r="AZ19" t="s">
        <v>73</v>
      </c>
      <c r="BA19" s="61" t="s">
        <v>73</v>
      </c>
      <c r="BB19">
        <v>1818</v>
      </c>
      <c r="BC19" s="85">
        <v>45634.991388888891</v>
      </c>
      <c r="BD19" s="85">
        <v>45634.94972222222</v>
      </c>
      <c r="BE19" t="s">
        <v>73</v>
      </c>
      <c r="BF19" t="s">
        <v>73</v>
      </c>
      <c r="BG19" t="s">
        <v>73</v>
      </c>
      <c r="BH19" t="s">
        <v>73</v>
      </c>
      <c r="BI19" t="s">
        <v>73</v>
      </c>
      <c r="BJ19" t="s">
        <v>73</v>
      </c>
      <c r="BL19" t="s">
        <v>73</v>
      </c>
      <c r="BM19" t="s">
        <v>73</v>
      </c>
      <c r="BN19" t="s">
        <v>73</v>
      </c>
      <c r="BO19" t="s">
        <v>73</v>
      </c>
      <c r="BP19" t="s">
        <v>73</v>
      </c>
      <c r="BQ19" s="1" t="s">
        <v>73</v>
      </c>
      <c r="BR19" s="1"/>
      <c r="BS19" s="1" t="s">
        <v>73</v>
      </c>
      <c r="BT19" s="1" t="s">
        <v>369</v>
      </c>
      <c r="BU19" s="1" t="s">
        <v>369</v>
      </c>
      <c r="BV19" s="1" t="s">
        <v>369</v>
      </c>
      <c r="BW19" s="1"/>
      <c r="BX19"/>
      <c r="BY19"/>
      <c r="BZ19"/>
      <c r="CA19"/>
      <c r="CB19"/>
      <c r="CC19"/>
      <c r="CD19"/>
    </row>
    <row r="20" spans="1:82" ht="17" thickBot="1" x14ac:dyDescent="0.25">
      <c r="A20" t="s">
        <v>136</v>
      </c>
      <c r="B20" t="s">
        <v>183</v>
      </c>
      <c r="C20" t="s">
        <v>137</v>
      </c>
      <c r="D20" s="1" t="s">
        <v>73</v>
      </c>
      <c r="E20" s="1" t="s">
        <v>72</v>
      </c>
      <c r="F20" s="1" t="s">
        <v>72</v>
      </c>
      <c r="G20" s="1" t="s">
        <v>73</v>
      </c>
      <c r="J20"/>
      <c r="K20"/>
      <c r="L20"/>
      <c r="M20"/>
      <c r="Q20" s="1" t="s">
        <v>73</v>
      </c>
      <c r="R20" s="1" t="s">
        <v>73</v>
      </c>
      <c r="S20" s="1" t="s">
        <v>73</v>
      </c>
      <c r="Z20" s="1" t="s">
        <v>73</v>
      </c>
      <c r="AA20" s="1" t="s">
        <v>73</v>
      </c>
      <c r="AB20"/>
      <c r="AD20"/>
      <c r="AG20"/>
      <c r="AH20"/>
      <c r="AI20"/>
      <c r="AJ20"/>
      <c r="AK20" s="1" t="s">
        <v>73</v>
      </c>
      <c r="AL20" s="1" t="s">
        <v>72</v>
      </c>
      <c r="AM20">
        <v>6</v>
      </c>
      <c r="AN20" s="1" t="s">
        <v>72</v>
      </c>
      <c r="AO20">
        <v>4</v>
      </c>
      <c r="AP20" s="1" t="s">
        <v>73</v>
      </c>
      <c r="AQ20"/>
      <c r="AR20" s="1" t="s">
        <v>72</v>
      </c>
      <c r="AS20">
        <v>6</v>
      </c>
      <c r="AT20" t="s">
        <v>73</v>
      </c>
      <c r="AW20" s="1">
        <v>25</v>
      </c>
      <c r="AX20" s="1">
        <v>1</v>
      </c>
      <c r="AY20" t="s">
        <v>73</v>
      </c>
      <c r="AZ20" t="s">
        <v>73</v>
      </c>
      <c r="BA20" s="61" t="s">
        <v>73</v>
      </c>
      <c r="BB20">
        <v>1812</v>
      </c>
      <c r="BC20" s="85">
        <v>45630.948182870372</v>
      </c>
      <c r="BD20" s="85">
        <v>45631.711759259262</v>
      </c>
      <c r="BE20" t="s">
        <v>73</v>
      </c>
      <c r="BF20" t="s">
        <v>73</v>
      </c>
      <c r="BG20" t="s">
        <v>73</v>
      </c>
      <c r="BH20" t="s">
        <v>73</v>
      </c>
      <c r="BI20" t="s">
        <v>73</v>
      </c>
      <c r="BJ20" t="s">
        <v>73</v>
      </c>
      <c r="BL20" t="s">
        <v>73</v>
      </c>
      <c r="BM20" t="s">
        <v>73</v>
      </c>
      <c r="BN20" t="s">
        <v>73</v>
      </c>
      <c r="BO20" t="s">
        <v>73</v>
      </c>
      <c r="BP20" t="s">
        <v>73</v>
      </c>
      <c r="BQ20" s="1" t="s">
        <v>73</v>
      </c>
      <c r="BR20" s="1"/>
      <c r="BS20" s="1" t="s">
        <v>73</v>
      </c>
      <c r="BT20" s="1" t="s">
        <v>369</v>
      </c>
      <c r="BU20" s="1" t="s">
        <v>369</v>
      </c>
      <c r="BV20" s="1" t="s">
        <v>369</v>
      </c>
      <c r="BW20" s="1"/>
      <c r="BX20"/>
      <c r="BY20"/>
      <c r="BZ20"/>
      <c r="CA20"/>
      <c r="CB20"/>
      <c r="CC20"/>
      <c r="CD20"/>
    </row>
    <row r="21" spans="1:82" ht="16" thickTop="1" x14ac:dyDescent="0.2">
      <c r="A21" t="s">
        <v>79</v>
      </c>
      <c r="C21">
        <f>SUBTOTAL(103,KDRvNB[Naam vereniging])</f>
        <v>14</v>
      </c>
      <c r="D21" s="1">
        <f>COUNTIF(KDRvNB[Delegatie],"x")</f>
        <v>2</v>
      </c>
      <c r="E21" s="16">
        <f>COUNTIF(KDRvNB[Muziekkorps bij mars en defilé],"x")</f>
        <v>12</v>
      </c>
      <c r="F21" s="16">
        <f>COUNTIF(KDRvNB[Deeln. jeugdkoningschieten],"x")</f>
        <v>9</v>
      </c>
      <c r="G21" s="16">
        <f>COUNTIF(KDRvNB[Maj. Senioren jureren bij mars],"x")</f>
        <v>1</v>
      </c>
      <c r="H21" s="16">
        <f>COUNTIF(KDRvNB[Maj. Jeugd jureren bij mars],"x")</f>
        <v>0</v>
      </c>
      <c r="I21" s="1">
        <f>SUBTOTAL(103,KDRvNB[Korps senioren])</f>
        <v>7</v>
      </c>
      <c r="J21" s="1">
        <f>SUBTOTAL(103,KDRvNB[Junioren korps 1])</f>
        <v>4</v>
      </c>
      <c r="K21" s="1">
        <f>SUBTOTAL(103,KDRvNB[Junioren korps 2])</f>
        <v>0</v>
      </c>
      <c r="L21" s="1">
        <f>SUBTOTAL(103,KDRvNB[Aspiranten korps 1])</f>
        <v>2</v>
      </c>
      <c r="M21" s="1">
        <f>SUBTOTAL(103,KDRvNB[Aspiranten korps 2])</f>
        <v>0</v>
      </c>
      <c r="N21" s="1">
        <f>SUBTOTAL(103,KDRvNB[Acrobatisch senioren])</f>
        <v>2</v>
      </c>
      <c r="O21" s="1">
        <f>SUBTOTAL(103,KDRvNB[Acrobatisch junioren])</f>
        <v>1</v>
      </c>
      <c r="P21" s="1">
        <f>SUBTOTAL(103,KDRvNB[Acrobatisch aspiranten])</f>
        <v>0</v>
      </c>
      <c r="T21" s="79">
        <f>SUBTOTAL(109,KDRvNB[Senioren indiv.])</f>
        <v>12</v>
      </c>
      <c r="U21" s="79">
        <f>SUBTOTAL(109,KDRvNB[Junioren indiv.])</f>
        <v>7</v>
      </c>
      <c r="V21" s="1">
        <f>SUBTOTAL(109,KDRvNB[Aspiranten indiv.])</f>
        <v>5</v>
      </c>
      <c r="W21" s="1">
        <f>SUBTOTAL(109,KDRvNB[Sen. ind opgegeven namen])</f>
        <v>11</v>
      </c>
      <c r="X21" s="1">
        <f>SUBTOTAL(109,KDRvNB[Jun. ind opgegeven namen])</f>
        <v>7</v>
      </c>
      <c r="Y21" s="1">
        <f>SUBTOTAL(109,KDRvNB[Asp. ind opgegeven namen])</f>
        <v>6</v>
      </c>
      <c r="Z21" s="16">
        <f>COUNTIF(KDRvNB[Hoofdkorps],"x")</f>
        <v>3</v>
      </c>
      <c r="AA21" s="117">
        <f>COUNTIF(KDRvNB[2e korps],"x")</f>
        <v>0</v>
      </c>
      <c r="AB21" s="1">
        <f>SUBTOTAL(109,KDRvNB[Groepen, teams, ensembles en duo''s])</f>
        <v>3</v>
      </c>
      <c r="AC21" s="1">
        <f>SUBTOTAL(109,KDRvNB[Senioren])</f>
        <v>17</v>
      </c>
      <c r="AD21" s="1">
        <f>SUBTOTAL(109,KDRvNB[Jong volwassene])</f>
        <v>1</v>
      </c>
      <c r="AE21" s="1">
        <f>SUBTOTAL(109,KDRvNB[Junioren])</f>
        <v>3</v>
      </c>
      <c r="AF21" s="1">
        <f>SUBTOTAL(109,KDRvNB[Aspiranten])</f>
        <v>0</v>
      </c>
      <c r="AG21" s="1">
        <f>SUBTOTAL(109,KDRvNB[Opgegeven senioren])</f>
        <v>17</v>
      </c>
      <c r="AH21" s="1">
        <f>SUBTOTAL(109,KDRvNB[Opgegeven jong volwassene])</f>
        <v>1</v>
      </c>
      <c r="AI21" s="1">
        <f>SUBTOTAL(109,KDRvNB[Opgegeven junioren])</f>
        <v>3</v>
      </c>
      <c r="AJ21" s="1">
        <f>SUBTOTAL(109,KDRvNB[Opgegeven aspiranten])</f>
        <v>0</v>
      </c>
      <c r="AK21" s="1">
        <f>COUNTIF(KDRvNB[Marketentsters],"x")</f>
        <v>5</v>
      </c>
      <c r="AL21" s="1">
        <f>COUNTIF(KDRvNB[Luchtgeweer],"x")</f>
        <v>9</v>
      </c>
      <c r="AM21" s="1">
        <f>SUBTOTAL(109,KDRvNB[Aantal luchtgeweerschutters])</f>
        <v>48</v>
      </c>
      <c r="AN21" s="1">
        <f>COUNTIF(KDRvNB[Luchtpistool],"x")</f>
        <v>8</v>
      </c>
      <c r="AO21" s="1">
        <f>SUBTOTAL(109,KDRvNB[Aantal luchtpistoolschutters])</f>
        <v>40</v>
      </c>
      <c r="AP21" s="1">
        <f>COUNTIF(KDRvNB[Handboog],"x")</f>
        <v>0</v>
      </c>
      <c r="AQ21" s="1">
        <f>SUBTOTAL(109,KDRvNB[Aantal handboogschutters])</f>
        <v>0</v>
      </c>
      <c r="AR21" s="1">
        <f>COUNTIF(KDRvNB[Kruisboog],"x")</f>
        <v>9</v>
      </c>
      <c r="AS21" s="1">
        <f>SUBTOTAL(109,KDRvNB[Aantal kruisboogschutters])</f>
        <v>46</v>
      </c>
      <c r="AT21" s="1">
        <f>COUNTIF(KDRvNB[Luchtgeweer jeugd niet ouder dan 17 jaar.],"x")</f>
        <v>5</v>
      </c>
      <c r="AU21" s="1">
        <f>SUBTOTAL(109,KDRvNB[Aantal korpsen])</f>
        <v>8</v>
      </c>
      <c r="AV21" s="1">
        <f>SUBTOTAL(109,KDRvNB[Opgegeven jeugdkorpsen LG])</f>
        <v>2</v>
      </c>
      <c r="AW21" s="1">
        <f>SUBTOTAL(109,KDRvNB[Totaal aantal deelnemers])</f>
        <v>559</v>
      </c>
      <c r="AX21" s="1">
        <f>SUBTOTAL(109,KDRvNB[Waarvan aantal jeugd (t/m 15 jaar)])</f>
        <v>103</v>
      </c>
      <c r="AY21" s="84">
        <f>COUNTIF(KDRvNB[Kanon etc.],"x")</f>
        <v>2</v>
      </c>
      <c r="AZ21" s="1">
        <f>COUNTIF(KDRvNB[Paarden en/of koetsen],"x")</f>
        <v>0</v>
      </c>
      <c r="BA21" s="63"/>
      <c r="BB21" s="1"/>
      <c r="BC21" s="1"/>
      <c r="BD21" s="1"/>
      <c r="BE21" s="1"/>
      <c r="BF21" s="1"/>
      <c r="BG21" s="1"/>
      <c r="BH21" s="1"/>
      <c r="BI21" s="1"/>
      <c r="BJ21" s="1"/>
      <c r="BK21" s="1"/>
      <c r="BL21" s="1"/>
      <c r="BM21" s="1"/>
      <c r="BN21" s="1"/>
      <c r="BO21" s="1"/>
      <c r="BP21" s="1"/>
      <c r="BQ21" s="1"/>
      <c r="BR21" s="1"/>
      <c r="BS21" s="1"/>
      <c r="BT21" s="1"/>
      <c r="BU21" s="1"/>
      <c r="BV21" s="1"/>
      <c r="BW21" s="1">
        <f>SUBTOTAL(109,KDRvNB[Aantal opgegeven majorettes])</f>
        <v>14</v>
      </c>
      <c r="BX21"/>
      <c r="BY21"/>
      <c r="BZ21"/>
      <c r="CA21"/>
      <c r="CB21"/>
      <c r="CC21"/>
      <c r="CD21"/>
    </row>
    <row r="22" spans="1:82" x14ac:dyDescent="0.2">
      <c r="BX22"/>
      <c r="BY22"/>
      <c r="BZ22"/>
      <c r="CA22"/>
      <c r="CB22"/>
      <c r="CC22"/>
      <c r="CD22"/>
    </row>
  </sheetData>
  <mergeCells count="15">
    <mergeCell ref="BE4:BK4"/>
    <mergeCell ref="AW3:BD3"/>
    <mergeCell ref="BS3:BW3"/>
    <mergeCell ref="A1:BW1"/>
    <mergeCell ref="A2:BW2"/>
    <mergeCell ref="D3:H3"/>
    <mergeCell ref="BL4:BR4"/>
    <mergeCell ref="I3:Y3"/>
    <mergeCell ref="Z3:AA3"/>
    <mergeCell ref="AL3:AV3"/>
    <mergeCell ref="BE3:BR3"/>
    <mergeCell ref="I4:M4"/>
    <mergeCell ref="N4:P4"/>
    <mergeCell ref="Q4:S4"/>
    <mergeCell ref="T4:Y4"/>
  </mergeCells>
  <phoneticPr fontId="2" type="noConversion"/>
  <conditionalFormatting sqref="W6:W20">
    <cfRule type="expression" dxfId="18" priority="6">
      <formula>$T6-$W6&lt;&gt;0</formula>
    </cfRule>
  </conditionalFormatting>
  <conditionalFormatting sqref="X6:X20">
    <cfRule type="expression" dxfId="17" priority="7">
      <formula>$U6-$X6&lt;&gt;0</formula>
    </cfRule>
  </conditionalFormatting>
  <conditionalFormatting sqref="Y6:Y20">
    <cfRule type="expression" dxfId="16" priority="8">
      <formula>$V6-$Y6&lt;&gt;0</formula>
    </cfRule>
  </conditionalFormatting>
  <conditionalFormatting sqref="AG6:AG20">
    <cfRule type="expression" dxfId="15" priority="5">
      <formula>$AC6-$AG6&lt;&gt;0</formula>
    </cfRule>
  </conditionalFormatting>
  <conditionalFormatting sqref="AH6:AH20">
    <cfRule type="expression" dxfId="14" priority="4">
      <formula>$AD6-$AH6&lt;&gt;0</formula>
    </cfRule>
  </conditionalFormatting>
  <conditionalFormatting sqref="AI6:AI20">
    <cfRule type="expression" dxfId="13" priority="3">
      <formula>$AE6-$AI6&lt;&gt;0</formula>
    </cfRule>
  </conditionalFormatting>
  <conditionalFormatting sqref="AJ6:AJ20">
    <cfRule type="expression" dxfId="12" priority="2">
      <formula>$AF6-$AJ6&lt;&gt;0</formula>
    </cfRule>
  </conditionalFormatting>
  <conditionalFormatting sqref="AV6:AV20">
    <cfRule type="expression" dxfId="11" priority="1">
      <formula>$AU6-$AV6&lt;&gt;0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11A6-DC29-41D3-89D3-279D4FA48D93}">
  <dimension ref="A1:CJ11"/>
  <sheetViews>
    <sheetView workbookViewId="0">
      <selection activeCell="A6" sqref="A6:BM29"/>
    </sheetView>
  </sheetViews>
  <sheetFormatPr baseColWidth="10" defaultColWidth="9.1640625" defaultRowHeight="15" x14ac:dyDescent="0.2"/>
  <cols>
    <col min="1" max="1" width="10.33203125" bestFit="1" customWidth="1"/>
    <col min="2" max="2" width="8.6640625" bestFit="1" customWidth="1"/>
    <col min="3" max="3" width="16.5" bestFit="1" customWidth="1"/>
    <col min="4" max="9" width="8.5" bestFit="1" customWidth="1"/>
    <col min="10" max="11" width="16.33203125" bestFit="1" customWidth="1"/>
    <col min="12" max="13" width="18" bestFit="1" customWidth="1"/>
    <col min="14" max="14" width="8.5" bestFit="1" customWidth="1"/>
    <col min="15" max="17" width="7.6640625" hidden="1" customWidth="1"/>
    <col min="18" max="23" width="8.5" style="1" bestFit="1" customWidth="1"/>
    <col min="24" max="25" width="8.5" bestFit="1" customWidth="1"/>
    <col min="26" max="27" width="8.5" style="1" bestFit="1" customWidth="1"/>
    <col min="28" max="28" width="32.5" style="1" bestFit="1" customWidth="1"/>
    <col min="29" max="29" width="8.5" style="1" bestFit="1" customWidth="1"/>
    <col min="30" max="30" width="16.33203125" style="1" bestFit="1" customWidth="1"/>
    <col min="31" max="32" width="8.5" style="1" bestFit="1" customWidth="1"/>
    <col min="33" max="33" width="19.6640625" style="1" bestFit="1" customWidth="1"/>
    <col min="34" max="34" width="25.5" style="1" bestFit="1" customWidth="1"/>
    <col min="35" max="35" width="19.5" style="1" bestFit="1" customWidth="1"/>
    <col min="36" max="36" width="21" style="1" bestFit="1" customWidth="1"/>
    <col min="37" max="38" width="8.5" style="1" bestFit="1" customWidth="1"/>
    <col min="39" max="39" width="26.33203125" style="1" bestFit="1" customWidth="1"/>
    <col min="40" max="40" width="8.5" bestFit="1" customWidth="1"/>
    <col min="41" max="41" width="25.83203125" bestFit="1" customWidth="1"/>
    <col min="42" max="42" width="8.5" bestFit="1" customWidth="1"/>
    <col min="43" max="43" width="24.1640625" bestFit="1" customWidth="1"/>
    <col min="44" max="44" width="8.5" style="61" bestFit="1" customWidth="1"/>
    <col min="45" max="45" width="24" bestFit="1" customWidth="1"/>
    <col min="46" max="46" width="36.83203125" bestFit="1" customWidth="1"/>
    <col min="47" max="47" width="15.1640625" bestFit="1" customWidth="1"/>
    <col min="48" max="48" width="25.83203125" bestFit="1" customWidth="1"/>
    <col min="49" max="52" width="8.5" bestFit="1" customWidth="1"/>
    <col min="53" max="53" width="23.6640625" style="1" bestFit="1" customWidth="1"/>
    <col min="54" max="54" width="8.5" bestFit="1" customWidth="1"/>
    <col min="55" max="56" width="15" bestFit="1" customWidth="1"/>
    <col min="57" max="57" width="12.1640625" bestFit="1" customWidth="1"/>
    <col min="58" max="58" width="8.5" bestFit="1" customWidth="1"/>
    <col min="59" max="59" width="19.5" bestFit="1" customWidth="1"/>
    <col min="60" max="60" width="28.83203125" bestFit="1" customWidth="1"/>
    <col min="61" max="75" width="8.5" bestFit="1" customWidth="1"/>
    <col min="76" max="76" width="8" bestFit="1" customWidth="1"/>
    <col min="77" max="77" width="8.5" bestFit="1" customWidth="1"/>
    <col min="78" max="85" width="7.6640625" bestFit="1" customWidth="1"/>
    <col min="86" max="86" width="12.6640625" bestFit="1" customWidth="1"/>
    <col min="87" max="87" width="25" customWidth="1"/>
    <col min="88" max="88" width="15.6640625" bestFit="1" customWidth="1"/>
  </cols>
  <sheetData>
    <row r="1" spans="1:88" ht="27" customHeight="1" x14ac:dyDescent="0.2">
      <c r="A1" s="148" t="s">
        <v>84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72"/>
      <c r="CI1" s="72"/>
      <c r="CJ1" s="72"/>
    </row>
    <row r="2" spans="1:88" ht="20" thickBot="1" x14ac:dyDescent="0.3">
      <c r="A2" s="149" t="s">
        <v>85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73"/>
      <c r="CI2" s="73"/>
      <c r="CJ2" s="73"/>
    </row>
    <row r="3" spans="1:88" ht="16" thickBot="1" x14ac:dyDescent="0.25">
      <c r="A3" s="20"/>
      <c r="B3" s="21"/>
      <c r="C3" s="22"/>
      <c r="D3" s="139" t="s">
        <v>1</v>
      </c>
      <c r="E3" s="140"/>
      <c r="F3" s="140"/>
      <c r="G3" s="140"/>
      <c r="H3" s="141"/>
      <c r="I3" s="142" t="s">
        <v>2</v>
      </c>
      <c r="J3" s="143"/>
      <c r="K3" s="143"/>
      <c r="L3" s="143"/>
      <c r="M3" s="143"/>
      <c r="N3" s="143"/>
      <c r="O3" s="143"/>
      <c r="P3" s="143"/>
      <c r="Q3" s="143"/>
      <c r="R3" s="143"/>
      <c r="S3" s="143"/>
      <c r="T3" s="143"/>
      <c r="U3" s="143"/>
      <c r="V3" s="143"/>
      <c r="W3" s="144"/>
      <c r="X3" s="139" t="s">
        <v>3</v>
      </c>
      <c r="Y3" s="141"/>
      <c r="Z3" s="26" t="s">
        <v>4</v>
      </c>
      <c r="AA3" s="156" t="s">
        <v>5</v>
      </c>
      <c r="AB3" s="157"/>
      <c r="AC3" s="157"/>
      <c r="AD3" s="157"/>
      <c r="AE3" s="157"/>
      <c r="AF3" s="158"/>
      <c r="AG3" s="26" t="s">
        <v>6</v>
      </c>
      <c r="AH3" s="139" t="s">
        <v>7</v>
      </c>
      <c r="AI3" s="140"/>
      <c r="AJ3" s="140"/>
      <c r="AK3" s="140"/>
      <c r="AL3" s="140"/>
      <c r="AM3" s="141"/>
      <c r="AN3" s="139" t="s">
        <v>8</v>
      </c>
      <c r="AO3" s="140"/>
      <c r="AP3" s="140"/>
      <c r="AQ3" s="140"/>
      <c r="AR3" s="140"/>
      <c r="AS3" s="140"/>
      <c r="AT3" s="141"/>
      <c r="AU3" s="142" t="s">
        <v>9</v>
      </c>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4"/>
      <c r="CC3" s="156" t="s">
        <v>10</v>
      </c>
      <c r="CD3" s="157"/>
      <c r="CE3" s="157"/>
      <c r="CF3" s="157"/>
      <c r="CG3" s="158"/>
      <c r="CH3" s="74"/>
      <c r="CI3" s="74"/>
      <c r="CJ3" s="74"/>
    </row>
    <row r="4" spans="1:88" ht="16" thickBot="1" x14ac:dyDescent="0.25">
      <c r="A4" s="23"/>
      <c r="B4" s="24"/>
      <c r="C4" s="25"/>
      <c r="D4" s="23"/>
      <c r="E4" s="24"/>
      <c r="F4" s="24"/>
      <c r="G4" s="24"/>
      <c r="H4" s="25"/>
      <c r="I4" s="142" t="s">
        <v>11</v>
      </c>
      <c r="J4" s="143"/>
      <c r="K4" s="144"/>
      <c r="L4" s="142" t="s">
        <v>12</v>
      </c>
      <c r="M4" s="143"/>
      <c r="N4" s="144"/>
      <c r="O4" s="142" t="s">
        <v>13</v>
      </c>
      <c r="P4" s="143"/>
      <c r="Q4" s="144"/>
      <c r="R4" s="142" t="s">
        <v>14</v>
      </c>
      <c r="S4" s="143"/>
      <c r="T4" s="143"/>
      <c r="U4" s="143"/>
      <c r="V4" s="143"/>
      <c r="W4" s="144"/>
      <c r="X4" s="23"/>
      <c r="Y4" s="25"/>
      <c r="Z4" s="27"/>
      <c r="AA4" s="23"/>
      <c r="AB4" s="24"/>
      <c r="AC4" s="24"/>
      <c r="AD4" s="24"/>
      <c r="AE4" s="24"/>
      <c r="AF4" s="25"/>
      <c r="AG4" s="27"/>
      <c r="AH4" s="23"/>
      <c r="AI4" s="24"/>
      <c r="AJ4" s="24"/>
      <c r="AK4" s="24"/>
      <c r="AL4" s="24"/>
      <c r="AM4" s="25"/>
      <c r="AN4" s="23"/>
      <c r="AO4" s="24"/>
      <c r="AP4" s="24"/>
      <c r="AQ4" s="24"/>
      <c r="AR4" s="62"/>
      <c r="AS4" s="24"/>
      <c r="AT4" s="25"/>
      <c r="AU4" s="142" t="s">
        <v>15</v>
      </c>
      <c r="AV4" s="143"/>
      <c r="AW4" s="143"/>
      <c r="AX4" s="143"/>
      <c r="AY4" s="143"/>
      <c r="AZ4" s="143"/>
      <c r="BA4" s="144"/>
      <c r="BB4" s="142" t="s">
        <v>16</v>
      </c>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4"/>
      <c r="CC4" s="17"/>
      <c r="CD4" s="18"/>
      <c r="CE4" s="18"/>
      <c r="CF4" s="18"/>
      <c r="CG4" s="19"/>
      <c r="CH4" s="74"/>
      <c r="CI4" s="74"/>
      <c r="CJ4" s="74"/>
    </row>
    <row r="5" spans="1:88" ht="16" thickBot="1" x14ac:dyDescent="0.25"/>
    <row r="6" spans="1:88" ht="212" x14ac:dyDescent="0.2">
      <c r="A6" s="6" t="s">
        <v>17</v>
      </c>
      <c r="B6" s="51" t="s">
        <v>18</v>
      </c>
      <c r="C6" s="52" t="s">
        <v>19</v>
      </c>
      <c r="D6" s="4" t="s">
        <v>20</v>
      </c>
      <c r="E6" s="4" t="s">
        <v>21</v>
      </c>
      <c r="F6" s="4" t="s">
        <v>22</v>
      </c>
      <c r="G6" s="4" t="s">
        <v>23</v>
      </c>
      <c r="H6" s="4" t="s">
        <v>24</v>
      </c>
      <c r="I6" s="55" t="s">
        <v>25</v>
      </c>
      <c r="J6" t="s">
        <v>126</v>
      </c>
      <c r="K6" t="s">
        <v>127</v>
      </c>
      <c r="L6" t="s">
        <v>128</v>
      </c>
      <c r="M6" t="s">
        <v>129</v>
      </c>
      <c r="N6" s="55" t="s">
        <v>26</v>
      </c>
      <c r="O6" s="53" t="s">
        <v>27</v>
      </c>
      <c r="P6" s="54" t="s">
        <v>28</v>
      </c>
      <c r="Q6" s="55" t="s">
        <v>29</v>
      </c>
      <c r="R6" s="53" t="s">
        <v>30</v>
      </c>
      <c r="S6" s="54" t="s">
        <v>31</v>
      </c>
      <c r="T6" s="55" t="s">
        <v>32</v>
      </c>
      <c r="U6" s="53" t="s">
        <v>33</v>
      </c>
      <c r="V6" s="53" t="s">
        <v>34</v>
      </c>
      <c r="W6" s="56" t="s">
        <v>35</v>
      </c>
      <c r="X6" s="56" t="s">
        <v>36</v>
      </c>
      <c r="Y6" s="57" t="s">
        <v>37</v>
      </c>
      <c r="Z6" s="55" t="s">
        <v>15</v>
      </c>
      <c r="AA6" s="54" t="s">
        <v>16</v>
      </c>
      <c r="AB6" t="s">
        <v>110</v>
      </c>
      <c r="AC6" s="55" t="s">
        <v>38</v>
      </c>
      <c r="AD6" t="s">
        <v>111</v>
      </c>
      <c r="AE6" s="53" t="s">
        <v>39</v>
      </c>
      <c r="AF6" s="53" t="s">
        <v>40</v>
      </c>
      <c r="AG6" t="s">
        <v>112</v>
      </c>
      <c r="AH6" t="s">
        <v>113</v>
      </c>
      <c r="AI6" t="s">
        <v>114</v>
      </c>
      <c r="AJ6" t="s">
        <v>115</v>
      </c>
      <c r="AK6" s="58" t="s">
        <v>41</v>
      </c>
      <c r="AL6" s="55" t="s">
        <v>42</v>
      </c>
      <c r="AM6" t="s">
        <v>122</v>
      </c>
      <c r="AN6" s="53" t="s">
        <v>43</v>
      </c>
      <c r="AO6" t="s">
        <v>123</v>
      </c>
      <c r="AP6" s="53" t="s">
        <v>45</v>
      </c>
      <c r="AQ6" t="s">
        <v>124</v>
      </c>
      <c r="AR6" s="53" t="s">
        <v>44</v>
      </c>
      <c r="AS6" t="s">
        <v>125</v>
      </c>
      <c r="AT6" t="s">
        <v>116</v>
      </c>
      <c r="AU6" t="s">
        <v>117</v>
      </c>
      <c r="AV6" t="s">
        <v>118</v>
      </c>
      <c r="AW6" s="55" t="s">
        <v>46</v>
      </c>
      <c r="AX6" s="53" t="s">
        <v>47</v>
      </c>
      <c r="AY6" s="53" t="s">
        <v>48</v>
      </c>
      <c r="AZ6" s="53" t="s">
        <v>49</v>
      </c>
      <c r="BA6" s="64" t="s">
        <v>50</v>
      </c>
      <c r="BB6" s="53" t="s">
        <v>51</v>
      </c>
      <c r="BC6" s="54" t="s">
        <v>52</v>
      </c>
      <c r="BD6" t="s">
        <v>108</v>
      </c>
      <c r="BE6" s="55" t="s">
        <v>53</v>
      </c>
      <c r="BF6" s="53" t="s">
        <v>54</v>
      </c>
      <c r="BG6" s="53" t="s">
        <v>55</v>
      </c>
      <c r="BH6" s="53" t="s">
        <v>56</v>
      </c>
      <c r="BI6" s="53" t="s">
        <v>57</v>
      </c>
      <c r="BJ6" s="53" t="s">
        <v>58</v>
      </c>
      <c r="BK6" s="54" t="s">
        <v>59</v>
      </c>
      <c r="BL6" s="55" t="s">
        <v>60</v>
      </c>
      <c r="BM6" s="53" t="s">
        <v>61</v>
      </c>
      <c r="BN6" s="53" t="s">
        <v>62</v>
      </c>
      <c r="BO6" s="53" t="s">
        <v>63</v>
      </c>
      <c r="BP6" s="53" t="s">
        <v>64</v>
      </c>
      <c r="BQ6" s="53" t="s">
        <v>65</v>
      </c>
      <c r="BR6" s="54" t="s">
        <v>66</v>
      </c>
      <c r="BS6" s="53" t="s">
        <v>70</v>
      </c>
      <c r="BT6" s="55" t="s">
        <v>67</v>
      </c>
      <c r="BU6" s="53" t="s">
        <v>68</v>
      </c>
      <c r="BV6" s="53" t="s">
        <v>69</v>
      </c>
      <c r="BW6" s="54" t="s">
        <v>71</v>
      </c>
    </row>
    <row r="7" spans="1:88" ht="16" x14ac:dyDescent="0.2">
      <c r="A7" s="15" t="s">
        <v>119</v>
      </c>
      <c r="B7" s="15" t="s">
        <v>184</v>
      </c>
      <c r="C7" s="15" t="s">
        <v>109</v>
      </c>
      <c r="D7" s="15" t="s">
        <v>73</v>
      </c>
      <c r="E7" s="15" t="s">
        <v>72</v>
      </c>
      <c r="F7" s="15" t="s">
        <v>72</v>
      </c>
      <c r="G7" s="15" t="s">
        <v>72</v>
      </c>
      <c r="H7" s="15" t="s">
        <v>74</v>
      </c>
      <c r="I7" s="15">
        <v>6</v>
      </c>
      <c r="J7">
        <v>4</v>
      </c>
      <c r="K7">
        <v>3</v>
      </c>
      <c r="L7">
        <v>4</v>
      </c>
      <c r="N7" s="15"/>
      <c r="O7" s="15"/>
      <c r="P7" s="15"/>
      <c r="Q7" s="15" t="s">
        <v>73</v>
      </c>
      <c r="R7" s="15" t="s">
        <v>73</v>
      </c>
      <c r="S7" s="15" t="s">
        <v>73</v>
      </c>
      <c r="T7" s="16">
        <v>6</v>
      </c>
      <c r="U7" s="16">
        <v>5</v>
      </c>
      <c r="V7" s="16">
        <v>4</v>
      </c>
      <c r="W7" s="16">
        <v>6</v>
      </c>
      <c r="X7" s="16">
        <v>5</v>
      </c>
      <c r="Y7" s="16">
        <v>4</v>
      </c>
      <c r="Z7" s="15" t="s">
        <v>72</v>
      </c>
      <c r="AA7" s="15" t="s">
        <v>73</v>
      </c>
      <c r="AB7">
        <v>1</v>
      </c>
      <c r="AC7" s="16">
        <v>10</v>
      </c>
      <c r="AD7">
        <v>5</v>
      </c>
      <c r="AE7" s="16">
        <v>4</v>
      </c>
      <c r="AF7" s="16">
        <v>3</v>
      </c>
      <c r="AG7">
        <v>10</v>
      </c>
      <c r="AH7">
        <v>5</v>
      </c>
      <c r="AI7">
        <v>4</v>
      </c>
      <c r="AJ7">
        <v>3</v>
      </c>
      <c r="AK7" s="16" t="s">
        <v>72</v>
      </c>
      <c r="AL7" s="16" t="s">
        <v>72</v>
      </c>
      <c r="AM7">
        <v>6</v>
      </c>
      <c r="AN7" s="16" t="s">
        <v>72</v>
      </c>
      <c r="AO7">
        <v>6</v>
      </c>
      <c r="AP7" s="16" t="s">
        <v>72</v>
      </c>
      <c r="AQ7">
        <v>5</v>
      </c>
      <c r="AR7" s="16" t="s">
        <v>72</v>
      </c>
      <c r="AS7">
        <v>6</v>
      </c>
      <c r="AT7" t="s">
        <v>72</v>
      </c>
      <c r="AU7">
        <v>2</v>
      </c>
      <c r="AV7">
        <v>2</v>
      </c>
      <c r="AW7" s="15">
        <v>100</v>
      </c>
      <c r="AX7" s="15">
        <v>25</v>
      </c>
      <c r="AY7" s="15" t="s">
        <v>73</v>
      </c>
      <c r="AZ7" s="15" t="s">
        <v>73</v>
      </c>
      <c r="BA7" s="60" t="s">
        <v>73</v>
      </c>
      <c r="BB7" s="15">
        <v>1804</v>
      </c>
      <c r="BC7" s="59">
        <v>45523.539861111109</v>
      </c>
      <c r="BD7" s="85">
        <v>45527.790335648147</v>
      </c>
      <c r="BE7" s="15" t="s">
        <v>109</v>
      </c>
      <c r="BF7" s="15" t="s">
        <v>78</v>
      </c>
      <c r="BG7" s="15" t="s">
        <v>76</v>
      </c>
      <c r="BH7" s="15" t="s">
        <v>77</v>
      </c>
      <c r="BI7" s="15" t="s">
        <v>120</v>
      </c>
      <c r="BJ7" s="15" t="s">
        <v>121</v>
      </c>
      <c r="BK7" s="16">
        <v>15</v>
      </c>
      <c r="BL7" s="15" t="s">
        <v>73</v>
      </c>
      <c r="BM7" s="15" t="s">
        <v>73</v>
      </c>
      <c r="BN7" s="15" t="s">
        <v>73</v>
      </c>
      <c r="BO7" s="15" t="s">
        <v>73</v>
      </c>
      <c r="BP7" s="15" t="s">
        <v>73</v>
      </c>
      <c r="BQ7" s="15" t="s">
        <v>73</v>
      </c>
      <c r="BR7" s="15"/>
      <c r="BS7" s="15" t="s">
        <v>75</v>
      </c>
      <c r="BT7" s="15" t="s">
        <v>196</v>
      </c>
      <c r="BU7" s="15" t="s">
        <v>197</v>
      </c>
      <c r="BV7" s="15" t="s">
        <v>199</v>
      </c>
      <c r="BW7" s="15">
        <v>9</v>
      </c>
    </row>
    <row r="8" spans="1:88" x14ac:dyDescent="0.2">
      <c r="A8" s="28" t="s">
        <v>79</v>
      </c>
      <c r="B8" s="28"/>
      <c r="C8" s="28">
        <f>SUBTOTAL(103,LJ[Naam vereniging])</f>
        <v>1</v>
      </c>
      <c r="D8" s="29">
        <f>COUNTIF(LJ[Delegatie],"x")</f>
        <v>0</v>
      </c>
      <c r="E8" s="29">
        <f>COUNTIF(LJ[Muziekkorps bij mars en defilé],"x")</f>
        <v>1</v>
      </c>
      <c r="F8" s="29">
        <f>COUNTIF(LJ[Deeln. jeugdkoningschieten],"x")</f>
        <v>1</v>
      </c>
      <c r="G8" s="29">
        <f>COUNTIF(LJ[Maj. Senioren jureren bij mars],"x")</f>
        <v>1</v>
      </c>
      <c r="H8" s="29">
        <f>COUNTIF(LJ[Maj. Jeugd jureren bij mars]," x")</f>
        <v>1</v>
      </c>
      <c r="I8" s="29">
        <f>COUNTIF(LJ[Korps senioren],"x")</f>
        <v>0</v>
      </c>
      <c r="J8" s="29" t="e">
        <f>COUNTIF(#REF!,"x")</f>
        <v>#REF!</v>
      </c>
      <c r="K8" s="29" t="e">
        <f>COUNTIF(#REF!,"x")</f>
        <v>#REF!</v>
      </c>
      <c r="L8" s="29">
        <f>COUNTIF(LJ[Acrobatisch senioren],"x")</f>
        <v>0</v>
      </c>
      <c r="M8" s="29">
        <f>COUNTIF(LJ[Acrobatisch junioren],"x")</f>
        <v>0</v>
      </c>
      <c r="N8" s="29">
        <f>COUNTIF(LJ[Acrobatisch aspiranten],"x")</f>
        <v>0</v>
      </c>
      <c r="O8" s="29">
        <f>COUNTIF(LJ[Show senioren],"x")</f>
        <v>0</v>
      </c>
      <c r="P8" s="29">
        <f>COUNTIF(LJ[Show junioren],"x")</f>
        <v>0</v>
      </c>
      <c r="Q8" s="29">
        <f>COUNTIF(LJ[Show aspiranten],"x")</f>
        <v>0</v>
      </c>
      <c r="R8" s="29">
        <f>SUBTOTAL(109,LJ[Senioren indiv.])</f>
        <v>6</v>
      </c>
      <c r="S8" s="29">
        <f>SUBTOTAL(109,LJ[Junioren indiv.])</f>
        <v>5</v>
      </c>
      <c r="T8" s="29">
        <f>SUBTOTAL(109,LJ[Aspiranten indiv.])</f>
        <v>4</v>
      </c>
      <c r="U8" s="29">
        <f>SUBTOTAL(109,LJ[Sen. ind opgegeven namen])</f>
        <v>6</v>
      </c>
      <c r="V8" s="29">
        <f>SUBTOTAL(109,LJ[Jun. ind opgegeven namen])</f>
        <v>5</v>
      </c>
      <c r="W8" s="29">
        <f>SUBTOTAL(109,LJ[Asp. ind opgegeven namen])</f>
        <v>4</v>
      </c>
      <c r="X8" s="29">
        <f>COUNTIF(LJ[Hoofdkorps],"x")</f>
        <v>1</v>
      </c>
      <c r="Y8" s="29">
        <f>COUNTIF(LJ[2e korps],"x")</f>
        <v>0</v>
      </c>
      <c r="Z8" s="29" t="e">
        <f>SUBTOTAL(109,#REF!)</f>
        <v>#REF!</v>
      </c>
      <c r="AA8" s="29">
        <f>SUBTOTAL(109,LJ[Senioren])</f>
        <v>10</v>
      </c>
      <c r="AB8" s="29">
        <f>SUBTOTAL(109,LJ[Junioren])</f>
        <v>4</v>
      </c>
      <c r="AC8" s="29">
        <f>SUBTOTAL(109,LJ[Aspiranten])</f>
        <v>3</v>
      </c>
      <c r="AD8" s="29" t="e">
        <f>SUBTOTAL(109,#REF!)</f>
        <v>#REF!</v>
      </c>
      <c r="AE8" s="29" t="e">
        <f>SUBTOTAL(109,#REF!)</f>
        <v>#REF!</v>
      </c>
      <c r="AF8" s="29" t="e">
        <f>SUBTOTAL(109,#REF!)</f>
        <v>#REF!</v>
      </c>
      <c r="AG8" s="29">
        <f>COUNTIF(LJ[Marketentsters],"x")</f>
        <v>1</v>
      </c>
      <c r="AH8" s="29">
        <f>COUNTIF(LJ[Luchtgeweer],"x")</f>
        <v>1</v>
      </c>
      <c r="AI8" s="29">
        <f>COUNTIF(LJ[Luchtpistool],"x")</f>
        <v>1</v>
      </c>
      <c r="AJ8" s="29">
        <f>COUNTIF(LJ[Kruisboog],"x")</f>
        <v>1</v>
      </c>
      <c r="AK8" s="29">
        <f>COUNTIF(LJ[Handboog],"x")</f>
        <v>1</v>
      </c>
      <c r="AL8" s="30" t="e">
        <f>COUNTIF(#REF!,"x")</f>
        <v>#REF!</v>
      </c>
      <c r="AM8" s="30" t="e">
        <f>SUBTOTAL(109,#REF!)</f>
        <v>#REF!</v>
      </c>
      <c r="AN8" s="29">
        <f>SUBTOTAL(109,LJ[Totaal aantal deelnemers])</f>
        <v>100</v>
      </c>
      <c r="AO8" s="31">
        <f>SUBTOTAL(109,LJ[Waarvan aantal jeugd (t/m 15 jaar)])</f>
        <v>25</v>
      </c>
      <c r="AP8" s="29"/>
      <c r="AQ8" s="29"/>
      <c r="AR8" s="65"/>
      <c r="AS8" s="29"/>
      <c r="AT8" s="29"/>
      <c r="AU8" s="28"/>
      <c r="AV8" s="28"/>
      <c r="AW8" s="28"/>
      <c r="AX8" s="28"/>
      <c r="AY8" s="28"/>
      <c r="AZ8" s="28"/>
      <c r="BA8" s="29"/>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9"/>
      <c r="CG8" s="29">
        <f>SUBTOTAL(109,LJ[Aantal opgegeven majorettes])</f>
        <v>9</v>
      </c>
      <c r="CH8" s="75"/>
      <c r="CI8" s="75"/>
      <c r="CJ8" s="75"/>
    </row>
    <row r="10" spans="1:88" x14ac:dyDescent="0.2">
      <c r="C10" s="32"/>
      <c r="D10" s="1"/>
    </row>
    <row r="11" spans="1:88" x14ac:dyDescent="0.2">
      <c r="C11" s="32"/>
      <c r="D11" s="70"/>
    </row>
  </sheetData>
  <mergeCells count="16">
    <mergeCell ref="I4:K4"/>
    <mergeCell ref="A1:CG1"/>
    <mergeCell ref="A2:CG2"/>
    <mergeCell ref="AN3:AT3"/>
    <mergeCell ref="D3:H3"/>
    <mergeCell ref="I3:W3"/>
    <mergeCell ref="X3:Y3"/>
    <mergeCell ref="AA3:AF3"/>
    <mergeCell ref="AH3:AM3"/>
    <mergeCell ref="L4:N4"/>
    <mergeCell ref="O4:Q4"/>
    <mergeCell ref="R4:W4"/>
    <mergeCell ref="AU3:CB3"/>
    <mergeCell ref="CC3:CG3"/>
    <mergeCell ref="AU4:BA4"/>
    <mergeCell ref="BB4:CB4"/>
  </mergeCells>
  <phoneticPr fontId="2" type="noConversion"/>
  <conditionalFormatting sqref="W6:W7">
    <cfRule type="expression" dxfId="10" priority="4">
      <formula>$T6-$W6&lt;&gt;0</formula>
    </cfRule>
  </conditionalFormatting>
  <conditionalFormatting sqref="X6:X7">
    <cfRule type="expression" dxfId="9" priority="5">
      <formula>$U6-$X6&lt;&gt;0</formula>
    </cfRule>
  </conditionalFormatting>
  <conditionalFormatting sqref="Y6:Y7">
    <cfRule type="expression" dxfId="8" priority="6">
      <formula>$V6-$Y6&lt;&gt;0</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2596-4F98-4B71-A6F6-3C3FF5BF23D8}">
  <dimension ref="A1:EV50"/>
  <sheetViews>
    <sheetView zoomScale="110" zoomScaleNormal="110" workbookViewId="0">
      <pane xSplit="3" ySplit="6" topLeftCell="D43" activePane="bottomRight" state="frozen"/>
      <selection pane="topRight" activeCell="D1" sqref="D1"/>
      <selection pane="bottomLeft" activeCell="A7" sqref="A7"/>
      <selection pane="bottomRight" activeCell="A51" sqref="A51:XFD76"/>
    </sheetView>
  </sheetViews>
  <sheetFormatPr baseColWidth="10" defaultColWidth="9.1640625" defaultRowHeight="15" x14ac:dyDescent="0.2"/>
  <cols>
    <col min="1" max="1" width="10.33203125" bestFit="1" customWidth="1"/>
    <col min="2" max="2" width="8.6640625" bestFit="1" customWidth="1"/>
    <col min="3" max="3" width="51.33203125" bestFit="1" customWidth="1"/>
    <col min="4" max="4" width="3.5" bestFit="1" customWidth="1"/>
    <col min="5" max="16" width="8.5" bestFit="1" customWidth="1"/>
    <col min="17" max="17" width="8.33203125" hidden="1" customWidth="1"/>
    <col min="18" max="19" width="7.6640625" hidden="1" customWidth="1"/>
    <col min="20" max="26" width="8.5" bestFit="1" customWidth="1"/>
    <col min="27" max="27" width="7.6640625" hidden="1" customWidth="1"/>
    <col min="28" max="32" width="8.5" bestFit="1" customWidth="1"/>
    <col min="33" max="36" width="3.5" bestFit="1" customWidth="1"/>
    <col min="37" max="38" width="8.5" bestFit="1" customWidth="1"/>
    <col min="39" max="39" width="8.5" style="1" bestFit="1" customWidth="1"/>
    <col min="40" max="40" width="8.5" bestFit="1" customWidth="1"/>
    <col min="41" max="41" width="8.5" style="1" bestFit="1" customWidth="1"/>
    <col min="42" max="42" width="8.5" bestFit="1" customWidth="1"/>
    <col min="43" max="43" width="8.5" style="1" bestFit="1" customWidth="1"/>
    <col min="44" max="44" width="8.5" bestFit="1" customWidth="1"/>
    <col min="45" max="45" width="8.5" style="1" bestFit="1" customWidth="1"/>
    <col min="46" max="47" width="8.5" bestFit="1" customWidth="1"/>
    <col min="48" max="48" width="3.5" bestFit="1" customWidth="1"/>
    <col min="49" max="49" width="8.5" style="61" bestFit="1" customWidth="1"/>
    <col min="50" max="52" width="8.5" bestFit="1" customWidth="1"/>
    <col min="53" max="53" width="80.6640625" style="70" bestFit="1" customWidth="1"/>
    <col min="54" max="54" width="8.5" bestFit="1" customWidth="1"/>
    <col min="55" max="56" width="15" bestFit="1" customWidth="1"/>
    <col min="57" max="57" width="40.6640625" bestFit="1" customWidth="1"/>
    <col min="58" max="58" width="24.33203125" bestFit="1" customWidth="1"/>
    <col min="59" max="60" width="31" bestFit="1" customWidth="1"/>
    <col min="61" max="61" width="13.1640625" bestFit="1" customWidth="1"/>
    <col min="62" max="62" width="17.83203125" bestFit="1" customWidth="1"/>
    <col min="63" max="63" width="8.5" bestFit="1" customWidth="1"/>
    <col min="64" max="70" width="7.6640625" hidden="1" customWidth="1"/>
    <col min="71" max="71" width="8.5" bestFit="1" customWidth="1"/>
    <col min="72" max="72" width="45.5" bestFit="1" customWidth="1"/>
    <col min="73" max="73" width="55.5" bestFit="1" customWidth="1"/>
    <col min="74" max="74" width="45.1640625" bestFit="1" customWidth="1"/>
    <col min="75" max="75" width="8.5" bestFit="1" customWidth="1"/>
    <col min="76" max="76" width="39.33203125" bestFit="1" customWidth="1"/>
    <col min="77" max="77" width="42" bestFit="1" customWidth="1"/>
    <col min="78" max="78" width="35.6640625" bestFit="1" customWidth="1"/>
    <col min="79" max="80" width="7.6640625" bestFit="1" customWidth="1"/>
    <col min="81" max="81" width="10.1640625" bestFit="1" customWidth="1"/>
    <col min="86" max="118" width="9.1640625" style="1"/>
    <col min="119" max="120" width="9.1640625" style="5"/>
    <col min="121" max="124" width="9.1640625" style="1"/>
    <col min="125" max="125" width="9.1640625" style="61"/>
    <col min="126" max="127" width="9.1640625" style="1"/>
    <col min="145" max="152" width="9.1640625" style="1"/>
  </cols>
  <sheetData>
    <row r="1" spans="1:152" ht="19" x14ac:dyDescent="0.2">
      <c r="A1" s="148" t="s">
        <v>86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row>
    <row r="2" spans="1:152" ht="20" thickBot="1" x14ac:dyDescent="0.3">
      <c r="A2" s="149" t="s">
        <v>143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row>
    <row r="3" spans="1:152" ht="16" thickBot="1" x14ac:dyDescent="0.25">
      <c r="A3" s="20"/>
      <c r="B3" s="21"/>
      <c r="C3" s="22"/>
      <c r="D3" s="139" t="s">
        <v>1</v>
      </c>
      <c r="E3" s="140"/>
      <c r="F3" s="140"/>
      <c r="G3" s="140"/>
      <c r="H3" s="141"/>
      <c r="I3" s="142" t="s">
        <v>2</v>
      </c>
      <c r="J3" s="143"/>
      <c r="K3" s="143"/>
      <c r="L3" s="143"/>
      <c r="M3" s="143"/>
      <c r="N3" s="143"/>
      <c r="O3" s="143"/>
      <c r="P3" s="143"/>
      <c r="Q3" s="143"/>
      <c r="R3" s="143"/>
      <c r="S3" s="143"/>
      <c r="T3" s="143"/>
      <c r="U3" s="143"/>
      <c r="V3" s="143"/>
      <c r="W3" s="143"/>
      <c r="X3" s="143"/>
      <c r="Y3" s="144"/>
      <c r="Z3" s="139" t="s">
        <v>3</v>
      </c>
      <c r="AA3" s="141"/>
      <c r="AB3" s="26" t="s">
        <v>4</v>
      </c>
      <c r="AC3" s="93" t="s">
        <v>5</v>
      </c>
      <c r="AD3" s="94"/>
      <c r="AE3" s="94"/>
      <c r="AF3" s="94"/>
      <c r="AG3" s="94"/>
      <c r="AH3" s="94"/>
      <c r="AI3" s="94"/>
      <c r="AJ3" s="95"/>
      <c r="AK3" s="26" t="s">
        <v>6</v>
      </c>
      <c r="AL3" s="139" t="s">
        <v>7</v>
      </c>
      <c r="AM3" s="140"/>
      <c r="AN3" s="140"/>
      <c r="AO3" s="140"/>
      <c r="AP3" s="140"/>
      <c r="AQ3" s="140"/>
      <c r="AR3" s="140"/>
      <c r="AS3" s="140"/>
      <c r="AT3" s="140"/>
      <c r="AU3" s="140"/>
      <c r="AV3" s="141"/>
      <c r="AW3" s="139" t="s">
        <v>8</v>
      </c>
      <c r="AX3" s="140"/>
      <c r="AY3" s="140"/>
      <c r="AZ3" s="140"/>
      <c r="BA3" s="140"/>
      <c r="BB3" s="140"/>
      <c r="BC3" s="140"/>
      <c r="BD3" s="141"/>
      <c r="BE3" s="142" t="s">
        <v>9</v>
      </c>
      <c r="BF3" s="143"/>
      <c r="BG3" s="143"/>
      <c r="BH3" s="143"/>
      <c r="BI3" s="143"/>
      <c r="BJ3" s="143"/>
      <c r="BK3" s="143"/>
      <c r="BL3" s="143"/>
      <c r="BM3" s="143"/>
      <c r="BN3" s="143"/>
      <c r="BO3" s="143"/>
      <c r="BP3" s="143"/>
      <c r="BQ3" s="143"/>
      <c r="BR3" s="143"/>
      <c r="BS3" s="145" t="s">
        <v>10</v>
      </c>
      <c r="BT3" s="146"/>
      <c r="BU3" s="146"/>
      <c r="BV3" s="146"/>
      <c r="BW3" s="147"/>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EO3"/>
      <c r="EP3"/>
      <c r="EQ3"/>
      <c r="ER3"/>
      <c r="ES3"/>
      <c r="ET3"/>
      <c r="EU3"/>
      <c r="EV3"/>
    </row>
    <row r="4" spans="1:152" ht="16" thickBot="1" x14ac:dyDescent="0.25">
      <c r="A4" s="23"/>
      <c r="B4" s="24"/>
      <c r="C4" s="25"/>
      <c r="D4" s="23"/>
      <c r="E4" s="24"/>
      <c r="F4" s="24"/>
      <c r="G4" s="24"/>
      <c r="H4" s="25"/>
      <c r="I4" s="142" t="s">
        <v>11</v>
      </c>
      <c r="J4" s="143"/>
      <c r="K4" s="143"/>
      <c r="L4" s="143"/>
      <c r="M4" s="144"/>
      <c r="N4" s="142" t="s">
        <v>88</v>
      </c>
      <c r="O4" s="143"/>
      <c r="P4" s="144"/>
      <c r="Q4" s="142" t="s">
        <v>13</v>
      </c>
      <c r="R4" s="143"/>
      <c r="S4" s="144"/>
      <c r="T4" s="142" t="s">
        <v>14</v>
      </c>
      <c r="U4" s="143"/>
      <c r="V4" s="143"/>
      <c r="W4" s="143"/>
      <c r="X4" s="143"/>
      <c r="Y4" s="144"/>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106"/>
      <c r="BB4" s="24"/>
      <c r="BC4" s="24"/>
      <c r="BD4" s="25"/>
      <c r="BE4" s="142" t="s">
        <v>15</v>
      </c>
      <c r="BF4" s="143"/>
      <c r="BG4" s="143"/>
      <c r="BH4" s="143"/>
      <c r="BI4" s="143"/>
      <c r="BJ4" s="143"/>
      <c r="BK4" s="144"/>
      <c r="BL4" s="142" t="s">
        <v>16</v>
      </c>
      <c r="BM4" s="143"/>
      <c r="BN4" s="143"/>
      <c r="BO4" s="143"/>
      <c r="BP4" s="143"/>
      <c r="BQ4" s="143"/>
      <c r="BR4" s="144"/>
      <c r="BS4" s="119"/>
      <c r="BT4" s="97"/>
      <c r="BU4" s="97"/>
      <c r="BV4" s="97"/>
      <c r="BW4" s="98"/>
      <c r="BX4" s="34"/>
      <c r="BY4" s="3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EO4"/>
      <c r="EP4"/>
      <c r="EQ4"/>
      <c r="ER4"/>
      <c r="ES4"/>
      <c r="ET4"/>
      <c r="EU4"/>
      <c r="EV4"/>
    </row>
    <row r="5" spans="1:152" ht="6.75" hidden="1" customHeight="1" x14ac:dyDescent="0.2">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N5" s="1"/>
      <c r="AP5" s="1"/>
      <c r="AR5" s="63"/>
      <c r="AT5" s="1"/>
      <c r="AU5" s="1"/>
      <c r="AV5" s="1"/>
      <c r="AW5" s="63"/>
      <c r="AX5" s="1"/>
      <c r="AY5" s="1"/>
      <c r="AZ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EO5"/>
      <c r="EP5"/>
      <c r="EQ5"/>
      <c r="ER5"/>
      <c r="ES5"/>
      <c r="ET5"/>
      <c r="EU5"/>
      <c r="EV5"/>
    </row>
    <row r="6" spans="1:152" s="2" customFormat="1" ht="213"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2" t="s">
        <v>112</v>
      </c>
      <c r="AH6" s="92" t="s">
        <v>113</v>
      </c>
      <c r="AI6" s="92" t="s">
        <v>114</v>
      </c>
      <c r="AJ6" s="99" t="s">
        <v>115</v>
      </c>
      <c r="AK6" s="14" t="s">
        <v>41</v>
      </c>
      <c r="AL6" s="9" t="s">
        <v>42</v>
      </c>
      <c r="AM6" s="120" t="s">
        <v>122</v>
      </c>
      <c r="AN6" s="10" t="s">
        <v>43</v>
      </c>
      <c r="AO6" s="120" t="s">
        <v>123</v>
      </c>
      <c r="AP6" s="10" t="s">
        <v>45</v>
      </c>
      <c r="AQ6" s="120" t="s">
        <v>124</v>
      </c>
      <c r="AR6" s="10" t="s">
        <v>44</v>
      </c>
      <c r="AS6" s="120" t="s">
        <v>125</v>
      </c>
      <c r="AT6" s="10" t="s">
        <v>116</v>
      </c>
      <c r="AU6" s="10" t="s">
        <v>117</v>
      </c>
      <c r="AV6" s="92" t="s">
        <v>118</v>
      </c>
      <c r="AW6" s="9" t="s">
        <v>46</v>
      </c>
      <c r="AX6" s="10" t="s">
        <v>47</v>
      </c>
      <c r="AY6" s="10" t="s">
        <v>48</v>
      </c>
      <c r="AZ6" s="10" t="s">
        <v>49</v>
      </c>
      <c r="BA6" s="105"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row>
    <row r="7" spans="1:152" ht="16" x14ac:dyDescent="0.2">
      <c r="A7" t="s">
        <v>138</v>
      </c>
      <c r="B7" t="s">
        <v>367</v>
      </c>
      <c r="C7" t="s">
        <v>368</v>
      </c>
      <c r="D7" s="1" t="s">
        <v>73</v>
      </c>
      <c r="E7" s="1" t="s">
        <v>72</v>
      </c>
      <c r="F7" s="1" t="s">
        <v>73</v>
      </c>
      <c r="G7" s="1" t="s">
        <v>73</v>
      </c>
      <c r="H7" s="1"/>
      <c r="I7" s="1">
        <v>2</v>
      </c>
      <c r="J7">
        <v>1</v>
      </c>
      <c r="N7" s="1"/>
      <c r="O7" s="1"/>
      <c r="P7" s="1"/>
      <c r="Q7" s="1" t="s">
        <v>73</v>
      </c>
      <c r="R7" s="1" t="s">
        <v>73</v>
      </c>
      <c r="S7" s="1" t="s">
        <v>73</v>
      </c>
      <c r="T7" s="1"/>
      <c r="U7" s="1"/>
      <c r="V7" s="1"/>
      <c r="W7" s="1"/>
      <c r="X7" s="1"/>
      <c r="Y7" s="1"/>
      <c r="Z7" s="1" t="s">
        <v>73</v>
      </c>
      <c r="AA7" s="1" t="s">
        <v>73</v>
      </c>
      <c r="AC7" s="1"/>
      <c r="AE7" s="1"/>
      <c r="AF7" s="1"/>
      <c r="AK7" s="1" t="s">
        <v>73</v>
      </c>
      <c r="AL7" s="1" t="s">
        <v>72</v>
      </c>
      <c r="AM7" s="1">
        <v>6</v>
      </c>
      <c r="AN7" s="1" t="s">
        <v>73</v>
      </c>
      <c r="AP7" s="1" t="s">
        <v>73</v>
      </c>
      <c r="AR7" s="1" t="s">
        <v>72</v>
      </c>
      <c r="AS7" s="1">
        <v>6</v>
      </c>
      <c r="AT7" t="s">
        <v>73</v>
      </c>
      <c r="AW7" s="1">
        <v>50</v>
      </c>
      <c r="AX7" s="1">
        <v>0</v>
      </c>
      <c r="AY7" s="1" t="s">
        <v>73</v>
      </c>
      <c r="AZ7" s="1" t="s">
        <v>72</v>
      </c>
      <c r="BA7" s="126" t="s">
        <v>397</v>
      </c>
      <c r="BB7" s="1">
        <v>1986</v>
      </c>
      <c r="BC7" s="100">
        <v>45657.804085648146</v>
      </c>
      <c r="BD7" s="85">
        <v>45657.762418981481</v>
      </c>
      <c r="BE7" s="1" t="s">
        <v>73</v>
      </c>
      <c r="BF7" s="1" t="s">
        <v>73</v>
      </c>
      <c r="BG7" s="1" t="s">
        <v>73</v>
      </c>
      <c r="BH7" s="1" t="s">
        <v>73</v>
      </c>
      <c r="BI7" s="1" t="s">
        <v>73</v>
      </c>
      <c r="BJ7" s="1" t="s">
        <v>73</v>
      </c>
      <c r="BK7" s="1"/>
      <c r="BL7" s="1" t="s">
        <v>73</v>
      </c>
      <c r="BM7" s="1" t="s">
        <v>73</v>
      </c>
      <c r="BN7" s="1" t="s">
        <v>73</v>
      </c>
      <c r="BO7" s="1" t="s">
        <v>73</v>
      </c>
      <c r="BP7" s="1" t="s">
        <v>73</v>
      </c>
      <c r="BQ7" s="1" t="s">
        <v>73</v>
      </c>
      <c r="BR7" s="1"/>
      <c r="BS7" s="1" t="s">
        <v>73</v>
      </c>
      <c r="BT7" s="1" t="s">
        <v>369</v>
      </c>
      <c r="BU7" s="1" t="s">
        <v>369</v>
      </c>
      <c r="BV7" s="1" t="s">
        <v>369</v>
      </c>
      <c r="BW7" s="1"/>
      <c r="BX7" s="1"/>
      <c r="BY7" s="1"/>
      <c r="BZ7" s="1"/>
      <c r="CA7" s="1"/>
      <c r="CB7" s="1"/>
      <c r="CC7" s="1"/>
      <c r="CD7" s="1"/>
      <c r="CE7" s="1"/>
      <c r="CF7" s="1"/>
      <c r="CG7" s="1"/>
      <c r="CY7" s="5"/>
      <c r="CZ7" s="5"/>
      <c r="DE7" s="61"/>
      <c r="DH7"/>
      <c r="DI7"/>
      <c r="DJ7"/>
      <c r="DK7"/>
      <c r="DL7"/>
      <c r="DM7"/>
      <c r="DN7"/>
      <c r="DO7"/>
      <c r="DP7"/>
      <c r="DQ7"/>
      <c r="DR7"/>
      <c r="DS7"/>
      <c r="DT7"/>
      <c r="DU7"/>
      <c r="DV7"/>
      <c r="DW7"/>
      <c r="DY7" s="1"/>
      <c r="DZ7" s="1"/>
      <c r="EA7" s="1"/>
      <c r="EB7" s="1"/>
      <c r="EC7" s="1"/>
      <c r="ED7" s="1"/>
      <c r="EE7" s="1"/>
      <c r="EF7" s="1"/>
      <c r="EO7"/>
      <c r="EP7"/>
      <c r="EQ7"/>
      <c r="ER7"/>
      <c r="ES7"/>
      <c r="ET7"/>
      <c r="EU7"/>
      <c r="EV7"/>
    </row>
    <row r="8" spans="1:152" ht="16" x14ac:dyDescent="0.2">
      <c r="A8" t="s">
        <v>138</v>
      </c>
      <c r="B8" t="s">
        <v>348</v>
      </c>
      <c r="C8" t="s">
        <v>349</v>
      </c>
      <c r="D8" s="1" t="s">
        <v>73</v>
      </c>
      <c r="E8" s="1" t="s">
        <v>73</v>
      </c>
      <c r="F8" s="1" t="s">
        <v>73</v>
      </c>
      <c r="G8" s="1" t="s">
        <v>72</v>
      </c>
      <c r="H8" s="1" t="s">
        <v>74</v>
      </c>
      <c r="I8" s="1"/>
      <c r="N8" s="1"/>
      <c r="O8" s="1"/>
      <c r="P8" s="1"/>
      <c r="Q8" s="1" t="s">
        <v>73</v>
      </c>
      <c r="R8" s="1" t="s">
        <v>73</v>
      </c>
      <c r="S8" s="1" t="s">
        <v>73</v>
      </c>
      <c r="T8" s="1"/>
      <c r="U8" s="1"/>
      <c r="V8" s="1"/>
      <c r="W8" s="1"/>
      <c r="X8" s="1"/>
      <c r="Y8" s="1"/>
      <c r="Z8" s="1" t="s">
        <v>73</v>
      </c>
      <c r="AA8" s="1" t="s">
        <v>73</v>
      </c>
      <c r="AB8">
        <v>11</v>
      </c>
      <c r="AC8" s="1">
        <v>2</v>
      </c>
      <c r="AD8">
        <v>1</v>
      </c>
      <c r="AE8" s="1"/>
      <c r="AF8" s="1">
        <v>2</v>
      </c>
      <c r="AG8">
        <v>2</v>
      </c>
      <c r="AH8">
        <v>1</v>
      </c>
      <c r="AJ8">
        <v>2</v>
      </c>
      <c r="AK8" s="1" t="s">
        <v>73</v>
      </c>
      <c r="AL8" s="1" t="s">
        <v>72</v>
      </c>
      <c r="AM8" s="1">
        <v>2</v>
      </c>
      <c r="AN8" s="1" t="s">
        <v>73</v>
      </c>
      <c r="AP8" s="1" t="s">
        <v>73</v>
      </c>
      <c r="AR8" s="1" t="s">
        <v>73</v>
      </c>
      <c r="AT8" t="s">
        <v>73</v>
      </c>
      <c r="AW8" s="1">
        <v>40</v>
      </c>
      <c r="AX8" s="1">
        <v>14</v>
      </c>
      <c r="AY8" s="1" t="s">
        <v>72</v>
      </c>
      <c r="AZ8" s="1" t="s">
        <v>73</v>
      </c>
      <c r="BA8" s="126" t="s">
        <v>365</v>
      </c>
      <c r="BB8" s="1">
        <v>1983</v>
      </c>
      <c r="BC8" s="100">
        <v>45656.886712962965</v>
      </c>
      <c r="BD8" s="85">
        <v>45656.845046296294</v>
      </c>
      <c r="BE8" s="1" t="s">
        <v>73</v>
      </c>
      <c r="BF8" s="1" t="s">
        <v>73</v>
      </c>
      <c r="BG8" s="1" t="s">
        <v>73</v>
      </c>
      <c r="BH8" s="1" t="s">
        <v>73</v>
      </c>
      <c r="BI8" s="1" t="s">
        <v>73</v>
      </c>
      <c r="BJ8" s="1" t="s">
        <v>73</v>
      </c>
      <c r="BK8" s="1"/>
      <c r="BL8" s="1" t="s">
        <v>73</v>
      </c>
      <c r="BM8" s="1" t="s">
        <v>73</v>
      </c>
      <c r="BN8" s="1" t="s">
        <v>73</v>
      </c>
      <c r="BO8" s="1" t="s">
        <v>73</v>
      </c>
      <c r="BP8" s="1" t="s">
        <v>73</v>
      </c>
      <c r="BQ8" s="1" t="s">
        <v>73</v>
      </c>
      <c r="BR8" s="1"/>
      <c r="BS8" s="1" t="s">
        <v>75</v>
      </c>
      <c r="BT8" s="1" t="s">
        <v>370</v>
      </c>
      <c r="BU8" s="1" t="s">
        <v>371</v>
      </c>
      <c r="BV8" s="1" t="s">
        <v>372</v>
      </c>
      <c r="BW8" s="1">
        <v>18</v>
      </c>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EO8"/>
      <c r="EP8"/>
      <c r="EQ8"/>
      <c r="ER8"/>
      <c r="ES8"/>
      <c r="ET8"/>
      <c r="EU8"/>
      <c r="EV8"/>
    </row>
    <row r="9" spans="1:152" ht="16" x14ac:dyDescent="0.2">
      <c r="A9" t="s">
        <v>138</v>
      </c>
      <c r="B9" t="s">
        <v>359</v>
      </c>
      <c r="C9" t="s">
        <v>360</v>
      </c>
      <c r="D9" s="1" t="s">
        <v>73</v>
      </c>
      <c r="E9" s="1" t="s">
        <v>72</v>
      </c>
      <c r="F9" s="1" t="s">
        <v>72</v>
      </c>
      <c r="G9" s="1" t="s">
        <v>73</v>
      </c>
      <c r="H9" s="1"/>
      <c r="I9" s="1"/>
      <c r="J9">
        <v>6</v>
      </c>
      <c r="N9" s="1"/>
      <c r="O9" s="1"/>
      <c r="P9" s="1"/>
      <c r="Q9" s="1" t="s">
        <v>73</v>
      </c>
      <c r="R9" s="1" t="s">
        <v>73</v>
      </c>
      <c r="S9" s="1" t="s">
        <v>73</v>
      </c>
      <c r="T9" s="1"/>
      <c r="U9" s="1"/>
      <c r="V9" s="1"/>
      <c r="W9" s="1"/>
      <c r="X9" s="1"/>
      <c r="Y9" s="1"/>
      <c r="Z9" s="1" t="s">
        <v>73</v>
      </c>
      <c r="AA9" s="1" t="s">
        <v>73</v>
      </c>
      <c r="AC9" s="1"/>
      <c r="AE9" s="1"/>
      <c r="AF9" s="1"/>
      <c r="AK9" s="1" t="s">
        <v>72</v>
      </c>
      <c r="AL9" s="1" t="s">
        <v>73</v>
      </c>
      <c r="AN9" s="1" t="s">
        <v>73</v>
      </c>
      <c r="AP9" s="1" t="s">
        <v>73</v>
      </c>
      <c r="AR9" s="1" t="s">
        <v>73</v>
      </c>
      <c r="AT9" t="s">
        <v>73</v>
      </c>
      <c r="AW9" s="1">
        <v>25</v>
      </c>
      <c r="AX9" s="1">
        <v>5</v>
      </c>
      <c r="AY9" s="1" t="s">
        <v>73</v>
      </c>
      <c r="AZ9" s="1" t="s">
        <v>73</v>
      </c>
      <c r="BA9" s="126" t="s">
        <v>366</v>
      </c>
      <c r="BB9" s="1">
        <v>1982</v>
      </c>
      <c r="BC9" s="100">
        <v>45656.853900462964</v>
      </c>
      <c r="BD9" s="85">
        <v>45656.8122337963</v>
      </c>
      <c r="BE9" s="1" t="s">
        <v>73</v>
      </c>
      <c r="BF9" s="1" t="s">
        <v>73</v>
      </c>
      <c r="BG9" s="1" t="s">
        <v>73</v>
      </c>
      <c r="BH9" s="1" t="s">
        <v>73</v>
      </c>
      <c r="BI9" s="1" t="s">
        <v>73</v>
      </c>
      <c r="BJ9" s="1" t="s">
        <v>73</v>
      </c>
      <c r="BK9" s="1"/>
      <c r="BL9" s="1" t="s">
        <v>73</v>
      </c>
      <c r="BM9" s="1" t="s">
        <v>73</v>
      </c>
      <c r="BN9" s="1" t="s">
        <v>73</v>
      </c>
      <c r="BO9" s="1" t="s">
        <v>73</v>
      </c>
      <c r="BP9" s="1" t="s">
        <v>73</v>
      </c>
      <c r="BQ9" s="1" t="s">
        <v>73</v>
      </c>
      <c r="BR9" s="1"/>
      <c r="BS9" s="1" t="s">
        <v>73</v>
      </c>
      <c r="BT9" s="1" t="s">
        <v>369</v>
      </c>
      <c r="BU9" s="1" t="s">
        <v>369</v>
      </c>
      <c r="BV9" s="1" t="s">
        <v>369</v>
      </c>
      <c r="BW9" s="1"/>
      <c r="BX9" s="1"/>
      <c r="BY9" s="1"/>
      <c r="BZ9" s="1"/>
      <c r="CA9" s="1"/>
      <c r="CB9" s="1"/>
      <c r="CC9" s="1"/>
      <c r="CD9" s="1"/>
      <c r="CE9" s="1"/>
      <c r="CF9" s="1"/>
      <c r="CG9" s="1"/>
      <c r="DC9" s="5"/>
      <c r="DD9" s="5"/>
      <c r="DI9" s="61"/>
      <c r="DL9"/>
      <c r="DM9"/>
      <c r="DN9"/>
      <c r="DO9"/>
      <c r="DP9"/>
      <c r="DQ9"/>
      <c r="DR9"/>
      <c r="DS9"/>
      <c r="DT9"/>
      <c r="DU9"/>
      <c r="DV9"/>
      <c r="DW9"/>
      <c r="EC9" s="1"/>
      <c r="ED9" s="1"/>
      <c r="EE9" s="1"/>
      <c r="EF9" s="1"/>
      <c r="EG9" s="1"/>
      <c r="EH9" s="1"/>
      <c r="EI9" s="1"/>
      <c r="EJ9" s="1"/>
      <c r="EO9"/>
      <c r="EP9"/>
      <c r="EQ9"/>
      <c r="ER9"/>
      <c r="ES9"/>
      <c r="ET9"/>
      <c r="EU9"/>
      <c r="EV9"/>
    </row>
    <row r="10" spans="1:152" ht="16" x14ac:dyDescent="0.2">
      <c r="A10" t="s">
        <v>138</v>
      </c>
      <c r="B10" t="s">
        <v>343</v>
      </c>
      <c r="C10" t="s">
        <v>344</v>
      </c>
      <c r="D10" s="1" t="s">
        <v>73</v>
      </c>
      <c r="E10" s="1" t="s">
        <v>72</v>
      </c>
      <c r="F10" s="1" t="s">
        <v>73</v>
      </c>
      <c r="G10" s="1" t="s">
        <v>73</v>
      </c>
      <c r="H10" s="1"/>
      <c r="I10" s="1">
        <v>8</v>
      </c>
      <c r="J10">
        <v>5</v>
      </c>
      <c r="N10" s="1"/>
      <c r="O10" s="1"/>
      <c r="P10" s="1"/>
      <c r="Q10" s="1" t="s">
        <v>73</v>
      </c>
      <c r="R10" s="1" t="s">
        <v>73</v>
      </c>
      <c r="S10" s="1" t="s">
        <v>73</v>
      </c>
      <c r="T10" s="1"/>
      <c r="U10" s="1"/>
      <c r="V10" s="1"/>
      <c r="W10" s="1"/>
      <c r="X10" s="1"/>
      <c r="Y10" s="1"/>
      <c r="Z10" s="1" t="s">
        <v>73</v>
      </c>
      <c r="AA10" s="1" t="s">
        <v>73</v>
      </c>
      <c r="AC10" s="1">
        <v>2</v>
      </c>
      <c r="AE10" s="1"/>
      <c r="AF10" s="1"/>
      <c r="AG10">
        <v>2</v>
      </c>
      <c r="AK10" s="1" t="s">
        <v>73</v>
      </c>
      <c r="AL10" s="1" t="s">
        <v>72</v>
      </c>
      <c r="AM10" s="1">
        <v>6</v>
      </c>
      <c r="AN10" s="1" t="s">
        <v>73</v>
      </c>
      <c r="AP10" s="1" t="s">
        <v>73</v>
      </c>
      <c r="AR10" s="1" t="s">
        <v>73</v>
      </c>
      <c r="AT10" t="s">
        <v>73</v>
      </c>
      <c r="AW10" s="1">
        <v>25</v>
      </c>
      <c r="AX10" s="1">
        <v>8</v>
      </c>
      <c r="AY10" s="1" t="s">
        <v>73</v>
      </c>
      <c r="AZ10" s="1" t="s">
        <v>73</v>
      </c>
      <c r="BA10" s="126" t="s">
        <v>73</v>
      </c>
      <c r="BB10" s="1">
        <v>1978</v>
      </c>
      <c r="BC10" s="100">
        <v>45656.754988425928</v>
      </c>
      <c r="BD10" s="85">
        <v>45656.713321759256</v>
      </c>
      <c r="BE10" s="1" t="s">
        <v>73</v>
      </c>
      <c r="BF10" s="1" t="s">
        <v>73</v>
      </c>
      <c r="BG10" s="1" t="s">
        <v>73</v>
      </c>
      <c r="BH10" s="1" t="s">
        <v>73</v>
      </c>
      <c r="BI10" s="1" t="s">
        <v>73</v>
      </c>
      <c r="BJ10" s="1" t="s">
        <v>73</v>
      </c>
      <c r="BK10" s="1"/>
      <c r="BL10" s="1" t="s">
        <v>73</v>
      </c>
      <c r="BM10" s="1" t="s">
        <v>73</v>
      </c>
      <c r="BN10" s="1" t="s">
        <v>73</v>
      </c>
      <c r="BO10" s="1" t="s">
        <v>73</v>
      </c>
      <c r="BP10" s="1" t="s">
        <v>73</v>
      </c>
      <c r="BQ10" s="1" t="s">
        <v>73</v>
      </c>
      <c r="BR10" s="1"/>
      <c r="BS10" s="1" t="s">
        <v>73</v>
      </c>
      <c r="BT10" s="1" t="s">
        <v>369</v>
      </c>
      <c r="BU10" s="1" t="s">
        <v>369</v>
      </c>
      <c r="BV10" s="1" t="s">
        <v>369</v>
      </c>
      <c r="BW10" s="1"/>
      <c r="BX10" s="1"/>
      <c r="BY10" s="1"/>
      <c r="BZ10" s="1"/>
      <c r="CA10" s="1"/>
      <c r="CB10" s="1"/>
      <c r="CC10" s="1"/>
      <c r="CD10" s="1"/>
      <c r="CE10" s="1"/>
      <c r="CF10" s="1"/>
      <c r="CG10" s="1"/>
      <c r="DC10" s="5"/>
      <c r="DD10" s="5"/>
      <c r="DI10" s="61"/>
      <c r="DL10"/>
      <c r="DM10"/>
      <c r="DN10"/>
      <c r="DO10"/>
      <c r="DP10"/>
      <c r="DQ10"/>
      <c r="DR10"/>
      <c r="DS10"/>
      <c r="DT10"/>
      <c r="DU10"/>
      <c r="DV10"/>
      <c r="DW10"/>
      <c r="EC10" s="1"/>
      <c r="ED10" s="1"/>
      <c r="EE10" s="1"/>
      <c r="EF10" s="1"/>
      <c r="EG10" s="1"/>
      <c r="EH10" s="1"/>
      <c r="EI10" s="1"/>
      <c r="EJ10" s="1"/>
      <c r="EO10"/>
      <c r="EP10"/>
      <c r="EQ10"/>
      <c r="ER10"/>
      <c r="ES10"/>
      <c r="ET10"/>
      <c r="EU10"/>
      <c r="EV10"/>
    </row>
    <row r="11" spans="1:152" ht="16" x14ac:dyDescent="0.2">
      <c r="A11" t="s">
        <v>138</v>
      </c>
      <c r="B11" t="s">
        <v>292</v>
      </c>
      <c r="C11" t="s">
        <v>293</v>
      </c>
      <c r="D11" s="1" t="s">
        <v>73</v>
      </c>
      <c r="E11" s="1" t="s">
        <v>72</v>
      </c>
      <c r="F11" s="1" t="s">
        <v>72</v>
      </c>
      <c r="G11" s="1" t="s">
        <v>73</v>
      </c>
      <c r="H11" s="1"/>
      <c r="I11" s="1">
        <v>14</v>
      </c>
      <c r="L11">
        <v>4</v>
      </c>
      <c r="N11" s="1"/>
      <c r="O11" s="1"/>
      <c r="P11" s="1"/>
      <c r="Q11" s="1" t="s">
        <v>73</v>
      </c>
      <c r="R11" s="1" t="s">
        <v>73</v>
      </c>
      <c r="S11" s="1" t="s">
        <v>73</v>
      </c>
      <c r="T11" s="1"/>
      <c r="U11" s="1"/>
      <c r="V11" s="1"/>
      <c r="W11" s="1"/>
      <c r="X11" s="1"/>
      <c r="Y11" s="1"/>
      <c r="Z11" s="1" t="s">
        <v>72</v>
      </c>
      <c r="AA11" s="1" t="s">
        <v>73</v>
      </c>
      <c r="AC11" s="1">
        <v>5</v>
      </c>
      <c r="AE11" s="1"/>
      <c r="AF11" s="1"/>
      <c r="AG11">
        <v>5</v>
      </c>
      <c r="AK11" s="1" t="s">
        <v>73</v>
      </c>
      <c r="AL11" s="1" t="s">
        <v>72</v>
      </c>
      <c r="AM11" s="1">
        <v>6</v>
      </c>
      <c r="AN11" s="1" t="s">
        <v>72</v>
      </c>
      <c r="AO11" s="1">
        <v>6</v>
      </c>
      <c r="AP11" s="1" t="s">
        <v>73</v>
      </c>
      <c r="AR11" s="1" t="s">
        <v>72</v>
      </c>
      <c r="AS11" s="1">
        <v>6</v>
      </c>
      <c r="AT11" t="s">
        <v>72</v>
      </c>
      <c r="AU11">
        <v>2</v>
      </c>
      <c r="AV11">
        <v>2</v>
      </c>
      <c r="AW11" s="1">
        <v>65</v>
      </c>
      <c r="AX11" s="1">
        <v>15</v>
      </c>
      <c r="AY11" s="1" t="s">
        <v>72</v>
      </c>
      <c r="AZ11" s="1" t="s">
        <v>73</v>
      </c>
      <c r="BA11" s="126" t="s">
        <v>73</v>
      </c>
      <c r="BB11" s="1">
        <v>1971</v>
      </c>
      <c r="BC11" s="100">
        <v>45655.714282407411</v>
      </c>
      <c r="BD11" s="85">
        <v>45655.672615740739</v>
      </c>
      <c r="BE11" s="1" t="s">
        <v>293</v>
      </c>
      <c r="BF11" s="1" t="s">
        <v>78</v>
      </c>
      <c r="BG11" s="1" t="s">
        <v>76</v>
      </c>
      <c r="BH11" s="1" t="s">
        <v>252</v>
      </c>
      <c r="BI11" s="1" t="s">
        <v>337</v>
      </c>
      <c r="BJ11" s="1" t="s">
        <v>337</v>
      </c>
      <c r="BK11" s="1">
        <v>15</v>
      </c>
      <c r="BL11" s="1" t="s">
        <v>73</v>
      </c>
      <c r="BM11" s="1" t="s">
        <v>73</v>
      </c>
      <c r="BN11" s="1" t="s">
        <v>73</v>
      </c>
      <c r="BO11" s="1" t="s">
        <v>73</v>
      </c>
      <c r="BP11" s="1" t="s">
        <v>73</v>
      </c>
      <c r="BQ11" s="1" t="s">
        <v>73</v>
      </c>
      <c r="BR11" s="1"/>
      <c r="BS11" s="1" t="s">
        <v>73</v>
      </c>
      <c r="BT11" s="1" t="s">
        <v>369</v>
      </c>
      <c r="BU11" s="1" t="s">
        <v>369</v>
      </c>
      <c r="BV11" s="1" t="s">
        <v>369</v>
      </c>
      <c r="BW11" s="1"/>
      <c r="BX11" s="1"/>
      <c r="BY11" s="1"/>
      <c r="BZ11" s="1"/>
      <c r="CA11" s="1"/>
      <c r="CB11" s="1"/>
      <c r="CC11" s="1"/>
      <c r="CD11" s="1"/>
      <c r="CE11" s="1"/>
      <c r="CF11" s="1"/>
      <c r="CG11" s="1"/>
      <c r="DC11" s="5"/>
      <c r="DD11" s="5"/>
      <c r="DI11" s="61"/>
      <c r="DL11"/>
      <c r="DM11"/>
      <c r="DN11"/>
      <c r="DO11"/>
      <c r="DP11"/>
      <c r="DQ11"/>
      <c r="DR11"/>
      <c r="DS11"/>
      <c r="DT11"/>
      <c r="DU11"/>
      <c r="DV11"/>
      <c r="DW11"/>
      <c r="EC11" s="1"/>
      <c r="ED11" s="1"/>
      <c r="EE11" s="1"/>
      <c r="EF11" s="1"/>
      <c r="EG11" s="1"/>
      <c r="EH11" s="1"/>
      <c r="EI11" s="1"/>
      <c r="EJ11" s="1"/>
      <c r="EO11"/>
      <c r="EP11"/>
      <c r="EQ11"/>
      <c r="ER11"/>
      <c r="ES11"/>
      <c r="ET11"/>
      <c r="EU11"/>
      <c r="EV11"/>
    </row>
    <row r="12" spans="1:152" ht="32" x14ac:dyDescent="0.2">
      <c r="A12" t="s">
        <v>138</v>
      </c>
      <c r="B12" t="s">
        <v>329</v>
      </c>
      <c r="C12" t="s">
        <v>330</v>
      </c>
      <c r="D12" s="1" t="s">
        <v>73</v>
      </c>
      <c r="E12" s="1" t="s">
        <v>72</v>
      </c>
      <c r="F12" s="1" t="s">
        <v>72</v>
      </c>
      <c r="G12" s="1" t="s">
        <v>73</v>
      </c>
      <c r="H12" s="1"/>
      <c r="I12" s="1">
        <v>9</v>
      </c>
      <c r="N12" s="1"/>
      <c r="O12" s="1"/>
      <c r="P12" s="1"/>
      <c r="Q12" s="1" t="s">
        <v>73</v>
      </c>
      <c r="R12" s="1" t="s">
        <v>73</v>
      </c>
      <c r="S12" s="1" t="s">
        <v>73</v>
      </c>
      <c r="T12" s="1"/>
      <c r="U12" s="1"/>
      <c r="V12" s="1"/>
      <c r="W12" s="1"/>
      <c r="X12" s="1"/>
      <c r="Y12" s="1"/>
      <c r="Z12" s="1" t="s">
        <v>73</v>
      </c>
      <c r="AA12" s="1" t="s">
        <v>73</v>
      </c>
      <c r="AC12" s="1">
        <v>2</v>
      </c>
      <c r="AD12">
        <v>2</v>
      </c>
      <c r="AE12" s="1"/>
      <c r="AF12" s="1">
        <v>1</v>
      </c>
      <c r="AG12">
        <v>3</v>
      </c>
      <c r="AH12">
        <v>1</v>
      </c>
      <c r="AJ12">
        <v>1</v>
      </c>
      <c r="AK12" s="1" t="s">
        <v>73</v>
      </c>
      <c r="AL12" s="1" t="s">
        <v>73</v>
      </c>
      <c r="AN12" s="1" t="s">
        <v>73</v>
      </c>
      <c r="AP12" s="1" t="s">
        <v>73</v>
      </c>
      <c r="AR12" s="1" t="s">
        <v>73</v>
      </c>
      <c r="AT12" t="s">
        <v>73</v>
      </c>
      <c r="AW12" s="1">
        <v>80</v>
      </c>
      <c r="AX12" s="1">
        <v>20</v>
      </c>
      <c r="AY12" s="1" t="s">
        <v>72</v>
      </c>
      <c r="AZ12" s="1" t="s">
        <v>73</v>
      </c>
      <c r="BA12" s="126" t="s">
        <v>338</v>
      </c>
      <c r="BB12" s="1">
        <v>1969</v>
      </c>
      <c r="BC12" s="100">
        <v>45655.680289351854</v>
      </c>
      <c r="BD12" s="85">
        <v>45655.654629629629</v>
      </c>
      <c r="BE12" s="1" t="s">
        <v>73</v>
      </c>
      <c r="BF12" s="1" t="s">
        <v>73</v>
      </c>
      <c r="BG12" s="1" t="s">
        <v>73</v>
      </c>
      <c r="BH12" s="1" t="s">
        <v>73</v>
      </c>
      <c r="BI12" s="1" t="s">
        <v>73</v>
      </c>
      <c r="BJ12" s="1" t="s">
        <v>73</v>
      </c>
      <c r="BK12" s="1"/>
      <c r="BL12" s="1" t="s">
        <v>73</v>
      </c>
      <c r="BM12" s="1" t="s">
        <v>73</v>
      </c>
      <c r="BN12" s="1" t="s">
        <v>73</v>
      </c>
      <c r="BO12" s="1" t="s">
        <v>73</v>
      </c>
      <c r="BP12" s="1" t="s">
        <v>73</v>
      </c>
      <c r="BQ12" s="1" t="s">
        <v>73</v>
      </c>
      <c r="BR12" s="1"/>
      <c r="BS12" s="1" t="s">
        <v>73</v>
      </c>
      <c r="BT12" s="1" t="s">
        <v>369</v>
      </c>
      <c r="BU12" s="1" t="s">
        <v>369</v>
      </c>
      <c r="BV12" s="1" t="s">
        <v>369</v>
      </c>
      <c r="BW12" s="1"/>
      <c r="BX12" s="1"/>
      <c r="BY12" s="1"/>
      <c r="BZ12" s="1"/>
      <c r="CA12" s="1"/>
      <c r="CB12" s="1"/>
      <c r="CC12" s="1"/>
      <c r="CD12" s="1"/>
      <c r="CE12" s="1"/>
      <c r="CF12" s="1"/>
      <c r="CG12" s="1"/>
      <c r="DC12" s="5"/>
      <c r="DD12" s="5"/>
      <c r="DI12" s="61"/>
      <c r="DL12"/>
      <c r="DM12"/>
      <c r="DN12"/>
      <c r="DO12"/>
      <c r="DP12"/>
      <c r="DQ12"/>
      <c r="DR12"/>
      <c r="DS12"/>
      <c r="DT12"/>
      <c r="DU12"/>
      <c r="DV12"/>
      <c r="DW12"/>
      <c r="EC12" s="1"/>
      <c r="ED12" s="1"/>
      <c r="EE12" s="1"/>
      <c r="EF12" s="1"/>
      <c r="EG12" s="1"/>
      <c r="EH12" s="1"/>
      <c r="EI12" s="1"/>
      <c r="EJ12" s="1"/>
      <c r="EO12"/>
      <c r="EP12"/>
      <c r="EQ12"/>
      <c r="ER12"/>
      <c r="ES12"/>
      <c r="ET12"/>
      <c r="EU12"/>
      <c r="EV12"/>
    </row>
    <row r="13" spans="1:152" ht="16" x14ac:dyDescent="0.2">
      <c r="A13" t="s">
        <v>138</v>
      </c>
      <c r="B13" t="s">
        <v>323</v>
      </c>
      <c r="C13" t="s">
        <v>324</v>
      </c>
      <c r="D13" s="1" t="s">
        <v>73</v>
      </c>
      <c r="E13" s="1" t="s">
        <v>72</v>
      </c>
      <c r="F13" s="1" t="s">
        <v>72</v>
      </c>
      <c r="G13" s="1" t="s">
        <v>73</v>
      </c>
      <c r="H13" s="1"/>
      <c r="I13" s="1">
        <v>3</v>
      </c>
      <c r="N13" s="1">
        <v>3</v>
      </c>
      <c r="O13" s="1"/>
      <c r="P13" s="1"/>
      <c r="Q13" s="1" t="s">
        <v>73</v>
      </c>
      <c r="R13" s="1" t="s">
        <v>73</v>
      </c>
      <c r="S13" s="1" t="s">
        <v>73</v>
      </c>
      <c r="T13" s="1">
        <v>1</v>
      </c>
      <c r="U13" s="1"/>
      <c r="V13" s="1"/>
      <c r="W13" s="1">
        <v>1</v>
      </c>
      <c r="X13" s="1"/>
      <c r="Y13" s="1"/>
      <c r="Z13" s="1" t="s">
        <v>73</v>
      </c>
      <c r="AA13" s="1" t="s">
        <v>73</v>
      </c>
      <c r="AC13" s="1">
        <v>2</v>
      </c>
      <c r="AE13" s="1"/>
      <c r="AF13" s="1"/>
      <c r="AG13">
        <v>2</v>
      </c>
      <c r="AK13" s="1" t="s">
        <v>73</v>
      </c>
      <c r="AL13" s="1" t="s">
        <v>72</v>
      </c>
      <c r="AM13" s="1">
        <v>6</v>
      </c>
      <c r="AN13" s="1" t="s">
        <v>72</v>
      </c>
      <c r="AO13" s="1">
        <v>6</v>
      </c>
      <c r="AP13" s="1" t="s">
        <v>73</v>
      </c>
      <c r="AR13" s="1" t="s">
        <v>72</v>
      </c>
      <c r="AS13" s="1">
        <v>6</v>
      </c>
      <c r="AT13" t="s">
        <v>73</v>
      </c>
      <c r="AW13" s="1">
        <v>25</v>
      </c>
      <c r="AX13" s="1">
        <v>0</v>
      </c>
      <c r="AY13" s="1" t="s">
        <v>73</v>
      </c>
      <c r="AZ13" s="1" t="s">
        <v>73</v>
      </c>
      <c r="BA13" s="126" t="s">
        <v>73</v>
      </c>
      <c r="BB13" s="1">
        <v>1962</v>
      </c>
      <c r="BC13" s="100">
        <v>45655.488310185188</v>
      </c>
      <c r="BD13" s="85">
        <v>45655.446643518517</v>
      </c>
      <c r="BE13" s="1" t="s">
        <v>73</v>
      </c>
      <c r="BF13" s="1" t="s">
        <v>73</v>
      </c>
      <c r="BG13" s="1" t="s">
        <v>73</v>
      </c>
      <c r="BH13" s="1" t="s">
        <v>73</v>
      </c>
      <c r="BI13" s="1" t="s">
        <v>73</v>
      </c>
      <c r="BJ13" s="1" t="s">
        <v>73</v>
      </c>
      <c r="BK13" s="1"/>
      <c r="BL13" s="1" t="s">
        <v>73</v>
      </c>
      <c r="BM13" s="1" t="s">
        <v>73</v>
      </c>
      <c r="BN13" s="1" t="s">
        <v>73</v>
      </c>
      <c r="BO13" s="1" t="s">
        <v>73</v>
      </c>
      <c r="BP13" s="1" t="s">
        <v>73</v>
      </c>
      <c r="BQ13" s="1" t="s">
        <v>73</v>
      </c>
      <c r="BR13" s="1"/>
      <c r="BS13" s="1" t="s">
        <v>73</v>
      </c>
      <c r="BT13" s="1" t="s">
        <v>369</v>
      </c>
      <c r="BU13" s="1" t="s">
        <v>369</v>
      </c>
      <c r="BV13" s="1" t="s">
        <v>369</v>
      </c>
      <c r="BW13" s="1"/>
      <c r="BX13" s="1"/>
      <c r="BY13" s="1"/>
      <c r="BZ13" s="1"/>
      <c r="CA13" s="1"/>
      <c r="CB13" s="1"/>
      <c r="CC13" s="1"/>
      <c r="CD13" s="1"/>
      <c r="CE13" s="1"/>
      <c r="CF13" s="1"/>
      <c r="CG13" s="1"/>
      <c r="DC13" s="5"/>
      <c r="DD13" s="5"/>
      <c r="DI13" s="61"/>
      <c r="DL13"/>
      <c r="DM13"/>
      <c r="DN13"/>
      <c r="DO13"/>
      <c r="DP13"/>
      <c r="DQ13"/>
      <c r="DR13"/>
      <c r="DS13"/>
      <c r="DT13"/>
      <c r="DU13"/>
      <c r="DV13"/>
      <c r="DW13"/>
      <c r="EC13" s="1"/>
      <c r="ED13" s="1"/>
      <c r="EE13" s="1"/>
      <c r="EF13" s="1"/>
      <c r="EG13" s="1"/>
      <c r="EH13" s="1"/>
      <c r="EI13" s="1"/>
      <c r="EJ13" s="1"/>
      <c r="EO13"/>
      <c r="EP13"/>
      <c r="EQ13"/>
      <c r="ER13"/>
      <c r="ES13"/>
      <c r="ET13"/>
      <c r="EU13"/>
      <c r="EV13"/>
    </row>
    <row r="14" spans="1:152" ht="16" x14ac:dyDescent="0.2">
      <c r="A14" t="s">
        <v>138</v>
      </c>
      <c r="B14" t="s">
        <v>208</v>
      </c>
      <c r="C14" t="s">
        <v>209</v>
      </c>
      <c r="D14" s="1" t="s">
        <v>72</v>
      </c>
      <c r="E14" s="1" t="s">
        <v>73</v>
      </c>
      <c r="F14" s="1" t="s">
        <v>72</v>
      </c>
      <c r="G14" s="1" t="s">
        <v>73</v>
      </c>
      <c r="H14" s="1"/>
      <c r="I14" s="1"/>
      <c r="N14" s="1"/>
      <c r="O14" s="1"/>
      <c r="P14" s="1"/>
      <c r="Q14" s="1" t="s">
        <v>73</v>
      </c>
      <c r="R14" s="1" t="s">
        <v>73</v>
      </c>
      <c r="S14" s="1" t="s">
        <v>73</v>
      </c>
      <c r="T14" s="1"/>
      <c r="U14" s="1"/>
      <c r="V14" s="1"/>
      <c r="W14" s="1"/>
      <c r="X14" s="1"/>
      <c r="Y14" s="1"/>
      <c r="Z14" s="1" t="s">
        <v>73</v>
      </c>
      <c r="AA14" s="1" t="s">
        <v>73</v>
      </c>
      <c r="AC14" s="1"/>
      <c r="AE14" s="1"/>
      <c r="AF14" s="1"/>
      <c r="AK14" s="1" t="s">
        <v>73</v>
      </c>
      <c r="AL14" s="1" t="s">
        <v>73</v>
      </c>
      <c r="AN14" s="1" t="s">
        <v>73</v>
      </c>
      <c r="AP14" s="1" t="s">
        <v>73</v>
      </c>
      <c r="AR14" s="1" t="s">
        <v>73</v>
      </c>
      <c r="AT14" t="s">
        <v>73</v>
      </c>
      <c r="AW14" s="1">
        <v>12</v>
      </c>
      <c r="AX14" s="1">
        <v>1</v>
      </c>
      <c r="AY14" s="1" t="s">
        <v>73</v>
      </c>
      <c r="AZ14" s="1" t="s">
        <v>73</v>
      </c>
      <c r="BA14" s="126" t="s">
        <v>73</v>
      </c>
      <c r="BB14" s="1">
        <v>1960</v>
      </c>
      <c r="BC14" s="100">
        <v>45654.767222222225</v>
      </c>
      <c r="BD14" s="85">
        <v>45654.725555555553</v>
      </c>
      <c r="BE14" s="1" t="s">
        <v>73</v>
      </c>
      <c r="BF14" s="1" t="s">
        <v>73</v>
      </c>
      <c r="BG14" s="1" t="s">
        <v>73</v>
      </c>
      <c r="BH14" s="1" t="s">
        <v>73</v>
      </c>
      <c r="BI14" s="1" t="s">
        <v>73</v>
      </c>
      <c r="BJ14" s="1" t="s">
        <v>73</v>
      </c>
      <c r="BK14" s="1"/>
      <c r="BL14" s="1" t="s">
        <v>73</v>
      </c>
      <c r="BM14" s="1" t="s">
        <v>73</v>
      </c>
      <c r="BN14" s="1" t="s">
        <v>73</v>
      </c>
      <c r="BO14" s="1" t="s">
        <v>73</v>
      </c>
      <c r="BP14" s="1" t="s">
        <v>73</v>
      </c>
      <c r="BQ14" s="1" t="s">
        <v>73</v>
      </c>
      <c r="BR14" s="1"/>
      <c r="BS14" s="1" t="s">
        <v>73</v>
      </c>
      <c r="BT14" s="1" t="s">
        <v>369</v>
      </c>
      <c r="BU14" s="1" t="s">
        <v>369</v>
      </c>
      <c r="BV14" s="1" t="s">
        <v>369</v>
      </c>
      <c r="BW14" s="1"/>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EO14"/>
      <c r="EP14"/>
      <c r="EQ14"/>
      <c r="ER14"/>
      <c r="ES14"/>
      <c r="ET14"/>
      <c r="EU14"/>
      <c r="EV14"/>
    </row>
    <row r="15" spans="1:152" ht="16" x14ac:dyDescent="0.2">
      <c r="A15" t="s">
        <v>138</v>
      </c>
      <c r="B15" t="s">
        <v>318</v>
      </c>
      <c r="C15" t="s">
        <v>319</v>
      </c>
      <c r="D15" s="1" t="s">
        <v>73</v>
      </c>
      <c r="E15" s="1" t="s">
        <v>72</v>
      </c>
      <c r="F15" s="1" t="s">
        <v>72</v>
      </c>
      <c r="G15" s="1" t="s">
        <v>73</v>
      </c>
      <c r="H15" s="1"/>
      <c r="I15" s="1">
        <v>14</v>
      </c>
      <c r="J15">
        <v>8</v>
      </c>
      <c r="L15">
        <v>4</v>
      </c>
      <c r="N15" s="1">
        <v>13</v>
      </c>
      <c r="O15" s="1">
        <v>6</v>
      </c>
      <c r="P15" s="1"/>
      <c r="Q15" s="1" t="s">
        <v>73</v>
      </c>
      <c r="R15" s="1" t="s">
        <v>73</v>
      </c>
      <c r="S15" s="1" t="s">
        <v>73</v>
      </c>
      <c r="T15" s="1">
        <v>1</v>
      </c>
      <c r="U15" s="1">
        <v>2</v>
      </c>
      <c r="V15" s="1">
        <v>1</v>
      </c>
      <c r="W15" s="1">
        <v>1</v>
      </c>
      <c r="X15" s="1">
        <v>2</v>
      </c>
      <c r="Y15" s="1">
        <v>1</v>
      </c>
      <c r="Z15" s="1" t="s">
        <v>73</v>
      </c>
      <c r="AA15" s="1" t="s">
        <v>73</v>
      </c>
      <c r="AC15" s="1">
        <v>3</v>
      </c>
      <c r="AE15" s="1"/>
      <c r="AF15" s="1"/>
      <c r="AG15">
        <v>3</v>
      </c>
      <c r="AK15" s="1" t="s">
        <v>72</v>
      </c>
      <c r="AL15" s="1" t="s">
        <v>72</v>
      </c>
      <c r="AM15" s="1">
        <v>6</v>
      </c>
      <c r="AN15" s="1" t="s">
        <v>72</v>
      </c>
      <c r="AO15" s="1">
        <v>6</v>
      </c>
      <c r="AP15" s="1" t="s">
        <v>73</v>
      </c>
      <c r="AR15" s="1" t="s">
        <v>73</v>
      </c>
      <c r="AT15" t="s">
        <v>72</v>
      </c>
      <c r="AU15">
        <v>2</v>
      </c>
      <c r="AV15">
        <v>3</v>
      </c>
      <c r="AW15" s="1">
        <v>125</v>
      </c>
      <c r="AX15" s="1">
        <v>22</v>
      </c>
      <c r="AY15" s="1" t="s">
        <v>72</v>
      </c>
      <c r="AZ15" s="1" t="s">
        <v>72</v>
      </c>
      <c r="BA15" s="126" t="s">
        <v>73</v>
      </c>
      <c r="BB15" s="1">
        <v>1956</v>
      </c>
      <c r="BC15" s="100">
        <v>45653.888425925928</v>
      </c>
      <c r="BD15" s="85">
        <v>45653.846759259257</v>
      </c>
      <c r="BE15" s="1" t="s">
        <v>73</v>
      </c>
      <c r="BF15" s="1" t="s">
        <v>73</v>
      </c>
      <c r="BG15" s="1" t="s">
        <v>73</v>
      </c>
      <c r="BH15" s="1" t="s">
        <v>73</v>
      </c>
      <c r="BI15" s="1" t="s">
        <v>73</v>
      </c>
      <c r="BJ15" s="1" t="s">
        <v>73</v>
      </c>
      <c r="BK15" s="1"/>
      <c r="BL15" s="1" t="s">
        <v>73</v>
      </c>
      <c r="BM15" s="1" t="s">
        <v>73</v>
      </c>
      <c r="BN15" s="1" t="s">
        <v>73</v>
      </c>
      <c r="BO15" s="1" t="s">
        <v>73</v>
      </c>
      <c r="BP15" s="1" t="s">
        <v>73</v>
      </c>
      <c r="BQ15" s="1" t="s">
        <v>73</v>
      </c>
      <c r="BR15" s="1"/>
      <c r="BS15" s="1" t="s">
        <v>73</v>
      </c>
      <c r="BT15" s="1" t="s">
        <v>369</v>
      </c>
      <c r="BU15" s="1" t="s">
        <v>369</v>
      </c>
      <c r="BV15" s="1" t="s">
        <v>369</v>
      </c>
      <c r="BW15" s="1"/>
      <c r="BX15" s="1"/>
      <c r="BY15" s="1"/>
      <c r="BZ15" s="1"/>
      <c r="CA15" s="1"/>
      <c r="CB15" s="1"/>
      <c r="CC15" s="1"/>
      <c r="CD15" s="1"/>
      <c r="CE15" s="1"/>
      <c r="CF15" s="1"/>
      <c r="CG15" s="1"/>
      <c r="DC15" s="5"/>
      <c r="DD15" s="5"/>
      <c r="DI15" s="61"/>
      <c r="DL15"/>
      <c r="DM15"/>
      <c r="DN15"/>
      <c r="DO15"/>
      <c r="DP15"/>
      <c r="DQ15"/>
      <c r="DR15"/>
      <c r="DS15"/>
      <c r="DT15"/>
      <c r="DU15"/>
      <c r="DV15"/>
      <c r="DW15"/>
      <c r="EC15" s="1"/>
      <c r="ED15" s="1"/>
      <c r="EE15" s="1"/>
      <c r="EF15" s="1"/>
      <c r="EG15" s="1"/>
      <c r="EH15" s="1"/>
      <c r="EI15" s="1"/>
      <c r="EJ15" s="1"/>
      <c r="EO15"/>
      <c r="EP15"/>
      <c r="EQ15"/>
      <c r="ER15"/>
      <c r="ES15"/>
      <c r="ET15"/>
      <c r="EU15"/>
      <c r="EV15"/>
    </row>
    <row r="16" spans="1:152" ht="16" x14ac:dyDescent="0.2">
      <c r="A16" t="s">
        <v>138</v>
      </c>
      <c r="B16" t="s">
        <v>314</v>
      </c>
      <c r="C16" t="s">
        <v>315</v>
      </c>
      <c r="D16" s="1" t="s">
        <v>73</v>
      </c>
      <c r="E16" s="1" t="s">
        <v>72</v>
      </c>
      <c r="F16" s="1" t="s">
        <v>72</v>
      </c>
      <c r="G16" s="1" t="s">
        <v>73</v>
      </c>
      <c r="H16" s="1"/>
      <c r="I16" s="1">
        <v>8</v>
      </c>
      <c r="J16">
        <v>6</v>
      </c>
      <c r="L16">
        <v>6</v>
      </c>
      <c r="M16">
        <v>6</v>
      </c>
      <c r="N16" s="1"/>
      <c r="O16" s="1"/>
      <c r="P16" s="1"/>
      <c r="Q16" s="1" t="s">
        <v>73</v>
      </c>
      <c r="R16" s="1" t="s">
        <v>73</v>
      </c>
      <c r="S16" s="1" t="s">
        <v>73</v>
      </c>
      <c r="T16" s="1"/>
      <c r="U16" s="1"/>
      <c r="V16" s="1"/>
      <c r="W16" s="1"/>
      <c r="X16" s="1"/>
      <c r="Y16" s="1"/>
      <c r="Z16" s="1" t="s">
        <v>73</v>
      </c>
      <c r="AA16" s="1" t="s">
        <v>73</v>
      </c>
      <c r="AC16" s="1">
        <v>4</v>
      </c>
      <c r="AE16" s="1"/>
      <c r="AF16" s="1"/>
      <c r="AG16">
        <v>4</v>
      </c>
      <c r="AK16" s="1" t="s">
        <v>73</v>
      </c>
      <c r="AL16" s="1" t="s">
        <v>73</v>
      </c>
      <c r="AN16" s="1" t="s">
        <v>73</v>
      </c>
      <c r="AP16" s="1" t="s">
        <v>73</v>
      </c>
      <c r="AR16" s="1" t="s">
        <v>73</v>
      </c>
      <c r="AT16" t="s">
        <v>73</v>
      </c>
      <c r="AW16" s="1">
        <v>100</v>
      </c>
      <c r="AX16" s="1">
        <v>20</v>
      </c>
      <c r="AY16" s="1" t="s">
        <v>73</v>
      </c>
      <c r="AZ16" s="1" t="s">
        <v>73</v>
      </c>
      <c r="BA16" s="126" t="s">
        <v>73</v>
      </c>
      <c r="BB16" s="1">
        <v>1953</v>
      </c>
      <c r="BC16" s="100">
        <v>45653.865555555552</v>
      </c>
      <c r="BD16" s="85">
        <v>45653.823888888888</v>
      </c>
      <c r="BE16" s="1" t="s">
        <v>73</v>
      </c>
      <c r="BF16" s="1" t="s">
        <v>73</v>
      </c>
      <c r="BG16" s="1" t="s">
        <v>73</v>
      </c>
      <c r="BH16" s="1" t="s">
        <v>73</v>
      </c>
      <c r="BI16" s="1" t="s">
        <v>73</v>
      </c>
      <c r="BJ16" s="1" t="s">
        <v>73</v>
      </c>
      <c r="BK16" s="1"/>
      <c r="BL16" s="1" t="s">
        <v>73</v>
      </c>
      <c r="BM16" s="1" t="s">
        <v>73</v>
      </c>
      <c r="BN16" s="1" t="s">
        <v>73</v>
      </c>
      <c r="BO16" s="1" t="s">
        <v>73</v>
      </c>
      <c r="BP16" s="1" t="s">
        <v>73</v>
      </c>
      <c r="BQ16" s="1" t="s">
        <v>73</v>
      </c>
      <c r="BR16" s="1"/>
      <c r="BS16" s="1" t="s">
        <v>73</v>
      </c>
      <c r="BT16" s="1" t="s">
        <v>369</v>
      </c>
      <c r="BU16" s="1" t="s">
        <v>369</v>
      </c>
      <c r="BV16" s="1" t="s">
        <v>369</v>
      </c>
      <c r="BW16" s="1"/>
      <c r="BX16" s="1"/>
      <c r="BY16" s="1"/>
      <c r="BZ16" s="1"/>
      <c r="CA16" s="1"/>
      <c r="CB16" s="1"/>
      <c r="CC16" s="1"/>
      <c r="CD16" s="1"/>
      <c r="CE16" s="1"/>
      <c r="CF16" s="1"/>
      <c r="CG16" s="1"/>
      <c r="DC16" s="5"/>
      <c r="DD16" s="5"/>
      <c r="DI16" s="61"/>
      <c r="DL16"/>
      <c r="DM16"/>
      <c r="DN16"/>
      <c r="DO16"/>
      <c r="DP16"/>
      <c r="DQ16"/>
      <c r="DR16"/>
      <c r="DS16"/>
      <c r="DT16"/>
      <c r="DU16"/>
      <c r="DV16"/>
      <c r="DW16"/>
      <c r="EC16" s="1"/>
      <c r="ED16" s="1"/>
      <c r="EE16" s="1"/>
      <c r="EF16" s="1"/>
      <c r="EG16" s="1"/>
      <c r="EH16" s="1"/>
      <c r="EI16" s="1"/>
      <c r="EJ16" s="1"/>
      <c r="EO16"/>
      <c r="EP16"/>
      <c r="EQ16"/>
      <c r="ER16"/>
      <c r="ES16"/>
      <c r="ET16"/>
      <c r="EU16"/>
      <c r="EV16"/>
    </row>
    <row r="17" spans="1:152" ht="16" x14ac:dyDescent="0.2">
      <c r="A17" t="s">
        <v>138</v>
      </c>
      <c r="B17" t="s">
        <v>311</v>
      </c>
      <c r="C17" t="s">
        <v>312</v>
      </c>
      <c r="D17" s="1" t="s">
        <v>73</v>
      </c>
      <c r="E17" s="1" t="s">
        <v>72</v>
      </c>
      <c r="F17" s="1" t="s">
        <v>73</v>
      </c>
      <c r="G17" s="1" t="s">
        <v>73</v>
      </c>
      <c r="H17" s="1"/>
      <c r="I17" s="1">
        <v>4</v>
      </c>
      <c r="J17">
        <v>6</v>
      </c>
      <c r="L17">
        <v>10</v>
      </c>
      <c r="M17">
        <v>3</v>
      </c>
      <c r="N17" s="1"/>
      <c r="O17" s="1"/>
      <c r="P17" s="1"/>
      <c r="Q17" s="1" t="s">
        <v>73</v>
      </c>
      <c r="R17" s="1" t="s">
        <v>73</v>
      </c>
      <c r="S17" s="1" t="s">
        <v>73</v>
      </c>
      <c r="T17" s="1"/>
      <c r="U17" s="1"/>
      <c r="V17" s="1"/>
      <c r="W17" s="1"/>
      <c r="X17" s="1"/>
      <c r="Y17" s="1"/>
      <c r="Z17" s="1" t="s">
        <v>73</v>
      </c>
      <c r="AA17" s="1" t="s">
        <v>73</v>
      </c>
      <c r="AC17" s="1"/>
      <c r="AE17" s="1"/>
      <c r="AF17" s="1"/>
      <c r="AK17" s="1" t="s">
        <v>73</v>
      </c>
      <c r="AL17" s="1" t="s">
        <v>72</v>
      </c>
      <c r="AM17" s="1">
        <v>6</v>
      </c>
      <c r="AN17" s="1" t="s">
        <v>72</v>
      </c>
      <c r="AO17" s="1">
        <v>6</v>
      </c>
      <c r="AP17" s="1" t="s">
        <v>73</v>
      </c>
      <c r="AR17" s="1" t="s">
        <v>72</v>
      </c>
      <c r="AS17" s="1">
        <v>6</v>
      </c>
      <c r="AT17" t="s">
        <v>72</v>
      </c>
      <c r="AU17">
        <v>2</v>
      </c>
      <c r="AV17">
        <v>2</v>
      </c>
      <c r="AW17" s="1">
        <v>75</v>
      </c>
      <c r="AX17" s="1">
        <v>13</v>
      </c>
      <c r="AY17" s="1" t="s">
        <v>73</v>
      </c>
      <c r="AZ17" s="1" t="s">
        <v>72</v>
      </c>
      <c r="BA17" s="126" t="s">
        <v>73</v>
      </c>
      <c r="BB17" s="1">
        <v>1942</v>
      </c>
      <c r="BC17" s="100">
        <v>45653.437048611115</v>
      </c>
      <c r="BD17" s="85">
        <v>45653.395381944443</v>
      </c>
      <c r="BE17" s="1" t="s">
        <v>73</v>
      </c>
      <c r="BF17" s="1" t="s">
        <v>73</v>
      </c>
      <c r="BG17" s="1" t="s">
        <v>73</v>
      </c>
      <c r="BH17" s="1" t="s">
        <v>73</v>
      </c>
      <c r="BI17" s="1" t="s">
        <v>73</v>
      </c>
      <c r="BJ17" s="1" t="s">
        <v>73</v>
      </c>
      <c r="BK17" s="1"/>
      <c r="BL17" s="1" t="s">
        <v>73</v>
      </c>
      <c r="BM17" s="1" t="s">
        <v>73</v>
      </c>
      <c r="BN17" s="1" t="s">
        <v>73</v>
      </c>
      <c r="BO17" s="1" t="s">
        <v>73</v>
      </c>
      <c r="BP17" s="1" t="s">
        <v>73</v>
      </c>
      <c r="BQ17" s="1" t="s">
        <v>73</v>
      </c>
      <c r="BR17" s="1"/>
      <c r="BS17" s="1" t="s">
        <v>73</v>
      </c>
      <c r="BT17" s="1" t="s">
        <v>369</v>
      </c>
      <c r="BU17" s="1" t="s">
        <v>369</v>
      </c>
      <c r="BV17" s="1" t="s">
        <v>369</v>
      </c>
      <c r="BW17" s="1"/>
      <c r="BX17" s="1"/>
      <c r="BY17" s="1"/>
      <c r="BZ17" s="1"/>
      <c r="CA17" s="1"/>
      <c r="CB17" s="1"/>
      <c r="CC17" s="1"/>
      <c r="CD17" s="1"/>
      <c r="CE17" s="1"/>
      <c r="CF17" s="1"/>
      <c r="CG17" s="1"/>
      <c r="DC17" s="5"/>
      <c r="DD17" s="5"/>
      <c r="DI17" s="61"/>
      <c r="DL17"/>
      <c r="DM17"/>
      <c r="DN17"/>
      <c r="DO17"/>
      <c r="DP17"/>
      <c r="DQ17"/>
      <c r="DR17"/>
      <c r="DS17"/>
      <c r="DT17"/>
      <c r="DU17"/>
      <c r="DV17"/>
      <c r="DW17"/>
      <c r="EC17" s="1"/>
      <c r="ED17" s="1"/>
      <c r="EE17" s="1"/>
      <c r="EF17" s="1"/>
      <c r="EG17" s="1"/>
      <c r="EH17" s="1"/>
      <c r="EI17" s="1"/>
      <c r="EJ17" s="1"/>
      <c r="EO17"/>
      <c r="EP17"/>
      <c r="EQ17"/>
      <c r="ER17"/>
      <c r="ES17"/>
      <c r="ET17"/>
      <c r="EU17"/>
      <c r="EV17"/>
    </row>
    <row r="18" spans="1:152" ht="16" x14ac:dyDescent="0.2">
      <c r="A18" t="s">
        <v>138</v>
      </c>
      <c r="B18" t="s">
        <v>306</v>
      </c>
      <c r="C18" t="s">
        <v>307</v>
      </c>
      <c r="D18" s="1" t="s">
        <v>73</v>
      </c>
      <c r="E18" s="1" t="s">
        <v>72</v>
      </c>
      <c r="F18" s="1" t="s">
        <v>73</v>
      </c>
      <c r="G18" s="1" t="s">
        <v>73</v>
      </c>
      <c r="H18" s="1"/>
      <c r="I18" s="1">
        <v>4</v>
      </c>
      <c r="N18" s="1"/>
      <c r="O18" s="1"/>
      <c r="P18" s="1"/>
      <c r="Q18" s="1" t="s">
        <v>73</v>
      </c>
      <c r="R18" s="1" t="s">
        <v>73</v>
      </c>
      <c r="S18" s="1" t="s">
        <v>73</v>
      </c>
      <c r="T18" s="1"/>
      <c r="U18" s="1"/>
      <c r="V18" s="1"/>
      <c r="W18" s="1"/>
      <c r="X18" s="1"/>
      <c r="Y18" s="1"/>
      <c r="Z18" s="1" t="s">
        <v>73</v>
      </c>
      <c r="AA18" s="1" t="s">
        <v>73</v>
      </c>
      <c r="AC18" s="1"/>
      <c r="AE18" s="1"/>
      <c r="AF18" s="1"/>
      <c r="AK18" s="1" t="s">
        <v>73</v>
      </c>
      <c r="AL18" s="1" t="s">
        <v>73</v>
      </c>
      <c r="AN18" s="1" t="s">
        <v>73</v>
      </c>
      <c r="AP18" s="1" t="s">
        <v>73</v>
      </c>
      <c r="AR18" s="1" t="s">
        <v>73</v>
      </c>
      <c r="AT18" t="s">
        <v>73</v>
      </c>
      <c r="AW18" s="1">
        <v>25</v>
      </c>
      <c r="AX18" s="1">
        <v>5</v>
      </c>
      <c r="AY18" s="1" t="s">
        <v>73</v>
      </c>
      <c r="AZ18" s="1" t="s">
        <v>73</v>
      </c>
      <c r="BA18" s="126" t="s">
        <v>308</v>
      </c>
      <c r="BB18" s="1">
        <v>1941</v>
      </c>
      <c r="BC18" s="100">
        <v>45653.435046296298</v>
      </c>
      <c r="BD18" s="85">
        <v>45653.393379629626</v>
      </c>
      <c r="BE18" s="1" t="s">
        <v>73</v>
      </c>
      <c r="BF18" s="1" t="s">
        <v>73</v>
      </c>
      <c r="BG18" s="1" t="s">
        <v>73</v>
      </c>
      <c r="BH18" s="1" t="s">
        <v>73</v>
      </c>
      <c r="BI18" s="1" t="s">
        <v>73</v>
      </c>
      <c r="BJ18" s="1" t="s">
        <v>73</v>
      </c>
      <c r="BK18" s="1"/>
      <c r="BL18" s="1" t="s">
        <v>73</v>
      </c>
      <c r="BM18" s="1" t="s">
        <v>73</v>
      </c>
      <c r="BN18" s="1" t="s">
        <v>73</v>
      </c>
      <c r="BO18" s="1" t="s">
        <v>73</v>
      </c>
      <c r="BP18" s="1" t="s">
        <v>73</v>
      </c>
      <c r="BQ18" s="1" t="s">
        <v>73</v>
      </c>
      <c r="BR18" s="1"/>
      <c r="BS18" s="1" t="s">
        <v>73</v>
      </c>
      <c r="BT18" s="1" t="s">
        <v>369</v>
      </c>
      <c r="BU18" s="1" t="s">
        <v>369</v>
      </c>
      <c r="BV18" s="1" t="s">
        <v>369</v>
      </c>
      <c r="BW18" s="1"/>
      <c r="BX18" s="1"/>
      <c r="BY18" s="1"/>
      <c r="BZ18" s="1"/>
      <c r="CA18" s="1"/>
      <c r="CB18" s="1"/>
      <c r="CC18" s="1"/>
      <c r="CD18" s="1"/>
      <c r="CE18" s="1"/>
      <c r="CF18" s="1"/>
      <c r="CG18" s="1"/>
      <c r="DC18" s="5"/>
      <c r="DD18" s="5"/>
      <c r="DI18" s="61"/>
      <c r="DL18"/>
      <c r="DM18"/>
      <c r="DN18"/>
      <c r="DO18"/>
      <c r="DP18"/>
      <c r="DQ18"/>
      <c r="DR18"/>
      <c r="DS18"/>
      <c r="DT18"/>
      <c r="DU18"/>
      <c r="DV18"/>
      <c r="DW18"/>
      <c r="EC18" s="1"/>
      <c r="ED18" s="1"/>
      <c r="EE18" s="1"/>
      <c r="EF18" s="1"/>
      <c r="EG18" s="1"/>
      <c r="EH18" s="1"/>
      <c r="EI18" s="1"/>
      <c r="EJ18" s="1"/>
      <c r="EO18"/>
      <c r="EP18"/>
      <c r="EQ18"/>
      <c r="ER18"/>
      <c r="ES18"/>
      <c r="ET18"/>
      <c r="EU18"/>
      <c r="EV18"/>
    </row>
    <row r="19" spans="1:152" ht="16" x14ac:dyDescent="0.2">
      <c r="A19" t="s">
        <v>138</v>
      </c>
      <c r="B19" t="s">
        <v>288</v>
      </c>
      <c r="C19" t="s">
        <v>289</v>
      </c>
      <c r="D19" s="1" t="s">
        <v>73</v>
      </c>
      <c r="E19" s="1" t="s">
        <v>72</v>
      </c>
      <c r="F19" s="1" t="s">
        <v>72</v>
      </c>
      <c r="G19" s="1" t="s">
        <v>72</v>
      </c>
      <c r="H19" s="1" t="s">
        <v>74</v>
      </c>
      <c r="I19" s="1">
        <v>10</v>
      </c>
      <c r="J19">
        <v>9</v>
      </c>
      <c r="L19">
        <v>3</v>
      </c>
      <c r="N19" s="1"/>
      <c r="O19" s="1"/>
      <c r="P19" s="1"/>
      <c r="Q19" s="1" t="s">
        <v>73</v>
      </c>
      <c r="R19" s="1" t="s">
        <v>73</v>
      </c>
      <c r="S19" s="1" t="s">
        <v>73</v>
      </c>
      <c r="T19" s="1"/>
      <c r="U19" s="1"/>
      <c r="V19" s="1"/>
      <c r="W19" s="1"/>
      <c r="X19" s="1"/>
      <c r="Y19" s="1"/>
      <c r="Z19" s="1" t="s">
        <v>73</v>
      </c>
      <c r="AA19" s="1" t="s">
        <v>73</v>
      </c>
      <c r="AB19">
        <v>4</v>
      </c>
      <c r="AC19" s="1">
        <v>9</v>
      </c>
      <c r="AD19">
        <v>4</v>
      </c>
      <c r="AE19" s="1"/>
      <c r="AF19" s="1">
        <v>2</v>
      </c>
      <c r="AG19">
        <v>8</v>
      </c>
      <c r="AH19">
        <v>3</v>
      </c>
      <c r="AJ19">
        <v>2</v>
      </c>
      <c r="AK19" s="1" t="s">
        <v>73</v>
      </c>
      <c r="AL19" s="1" t="s">
        <v>72</v>
      </c>
      <c r="AM19" s="1">
        <v>6</v>
      </c>
      <c r="AN19" s="1" t="s">
        <v>72</v>
      </c>
      <c r="AO19" s="1">
        <v>6</v>
      </c>
      <c r="AP19" s="1" t="s">
        <v>72</v>
      </c>
      <c r="AQ19" s="1">
        <v>6</v>
      </c>
      <c r="AR19" s="1" t="s">
        <v>72</v>
      </c>
      <c r="AS19" s="1">
        <v>6</v>
      </c>
      <c r="AT19" t="s">
        <v>73</v>
      </c>
      <c r="AW19" s="1">
        <v>140</v>
      </c>
      <c r="AX19" s="1">
        <v>35</v>
      </c>
      <c r="AY19" s="1" t="s">
        <v>73</v>
      </c>
      <c r="AZ19" s="1" t="s">
        <v>73</v>
      </c>
      <c r="BA19" s="126" t="s">
        <v>73</v>
      </c>
      <c r="BB19" s="1">
        <v>1926</v>
      </c>
      <c r="BC19" s="100">
        <v>45652.543194444443</v>
      </c>
      <c r="BD19" s="85">
        <v>45652.501527777778</v>
      </c>
      <c r="BE19" s="1" t="s">
        <v>73</v>
      </c>
      <c r="BF19" s="1" t="s">
        <v>73</v>
      </c>
      <c r="BG19" s="1" t="s">
        <v>73</v>
      </c>
      <c r="BH19" s="1" t="s">
        <v>73</v>
      </c>
      <c r="BI19" s="1" t="s">
        <v>73</v>
      </c>
      <c r="BJ19" s="1" t="s">
        <v>73</v>
      </c>
      <c r="BK19" s="1"/>
      <c r="BL19" s="1" t="s">
        <v>73</v>
      </c>
      <c r="BM19" s="1" t="s">
        <v>73</v>
      </c>
      <c r="BN19" s="1" t="s">
        <v>73</v>
      </c>
      <c r="BO19" s="1" t="s">
        <v>73</v>
      </c>
      <c r="BP19" s="1" t="s">
        <v>73</v>
      </c>
      <c r="BQ19" s="1" t="s">
        <v>73</v>
      </c>
      <c r="BR19" s="1"/>
      <c r="BS19" s="1" t="s">
        <v>169</v>
      </c>
      <c r="BT19" s="1" t="s">
        <v>373</v>
      </c>
      <c r="BU19" s="1" t="s">
        <v>374</v>
      </c>
      <c r="BV19" s="1" t="s">
        <v>375</v>
      </c>
      <c r="BW19" s="1">
        <v>18</v>
      </c>
      <c r="BX19" s="1"/>
      <c r="BY19" s="1"/>
      <c r="BZ19" s="1"/>
      <c r="CA19" s="1"/>
      <c r="CB19" s="1"/>
      <c r="CC19" s="1"/>
      <c r="CD19" s="1"/>
      <c r="CE19" s="1"/>
      <c r="CF19" s="1"/>
      <c r="CG19" s="1"/>
      <c r="DC19" s="5"/>
      <c r="DD19" s="5"/>
      <c r="DI19" s="61"/>
      <c r="DL19"/>
      <c r="DM19"/>
      <c r="DN19"/>
      <c r="DO19"/>
      <c r="DP19"/>
      <c r="DQ19"/>
      <c r="DR19"/>
      <c r="DS19"/>
      <c r="DT19"/>
      <c r="DU19"/>
      <c r="DV19"/>
      <c r="DW19"/>
      <c r="EC19" s="1"/>
      <c r="ED19" s="1"/>
      <c r="EE19" s="1"/>
      <c r="EF19" s="1"/>
      <c r="EG19" s="1"/>
      <c r="EH19" s="1"/>
      <c r="EI19" s="1"/>
      <c r="EJ19" s="1"/>
      <c r="EO19"/>
      <c r="EP19"/>
      <c r="EQ19"/>
      <c r="ER19"/>
      <c r="ES19"/>
      <c r="ET19"/>
      <c r="EU19"/>
      <c r="EV19"/>
    </row>
    <row r="20" spans="1:152" ht="16" x14ac:dyDescent="0.2">
      <c r="A20" t="s">
        <v>138</v>
      </c>
      <c r="B20" t="s">
        <v>200</v>
      </c>
      <c r="C20" t="s">
        <v>201</v>
      </c>
      <c r="D20" s="1" t="s">
        <v>73</v>
      </c>
      <c r="E20" s="1" t="s">
        <v>72</v>
      </c>
      <c r="F20" s="1" t="s">
        <v>72</v>
      </c>
      <c r="G20" s="1" t="s">
        <v>72</v>
      </c>
      <c r="H20" s="1" t="s">
        <v>74</v>
      </c>
      <c r="I20" s="1"/>
      <c r="N20" s="1"/>
      <c r="O20" s="1"/>
      <c r="P20" s="1"/>
      <c r="Q20" s="1" t="s">
        <v>73</v>
      </c>
      <c r="R20" s="1" t="s">
        <v>73</v>
      </c>
      <c r="S20" s="1" t="s">
        <v>73</v>
      </c>
      <c r="T20" s="1"/>
      <c r="U20" s="1"/>
      <c r="V20" s="1"/>
      <c r="W20" s="1"/>
      <c r="X20" s="1"/>
      <c r="Y20" s="1"/>
      <c r="Z20" s="1" t="s">
        <v>73</v>
      </c>
      <c r="AA20" s="1" t="s">
        <v>73</v>
      </c>
      <c r="AB20">
        <v>3</v>
      </c>
      <c r="AC20" s="1">
        <v>6</v>
      </c>
      <c r="AE20" s="1"/>
      <c r="AF20" s="1"/>
      <c r="AG20">
        <v>6</v>
      </c>
      <c r="AK20" s="1" t="s">
        <v>72</v>
      </c>
      <c r="AL20" s="1" t="s">
        <v>72</v>
      </c>
      <c r="AM20" s="1">
        <v>6</v>
      </c>
      <c r="AN20" s="1" t="s">
        <v>72</v>
      </c>
      <c r="AO20" s="1">
        <v>6</v>
      </c>
      <c r="AP20" s="1" t="s">
        <v>73</v>
      </c>
      <c r="AR20" s="1" t="s">
        <v>72</v>
      </c>
      <c r="AS20" s="1">
        <v>6</v>
      </c>
      <c r="AT20" t="s">
        <v>72</v>
      </c>
      <c r="AU20">
        <v>1</v>
      </c>
      <c r="AV20">
        <v>1</v>
      </c>
      <c r="AW20" s="1">
        <v>70</v>
      </c>
      <c r="AX20" s="1">
        <v>15</v>
      </c>
      <c r="AY20" s="1" t="s">
        <v>73</v>
      </c>
      <c r="AZ20" s="1" t="s">
        <v>73</v>
      </c>
      <c r="BA20" s="126" t="s">
        <v>73</v>
      </c>
      <c r="BB20" s="1">
        <v>1922</v>
      </c>
      <c r="BC20" s="100">
        <v>45651.5466087963</v>
      </c>
      <c r="BD20" s="85">
        <v>45657.507280092592</v>
      </c>
      <c r="BE20" s="1" t="s">
        <v>73</v>
      </c>
      <c r="BF20" s="1" t="s">
        <v>73</v>
      </c>
      <c r="BG20" s="1" t="s">
        <v>73</v>
      </c>
      <c r="BH20" s="1" t="s">
        <v>73</v>
      </c>
      <c r="BI20" s="1" t="s">
        <v>73</v>
      </c>
      <c r="BJ20" s="1" t="s">
        <v>73</v>
      </c>
      <c r="BK20" s="1"/>
      <c r="BL20" s="1" t="s">
        <v>73</v>
      </c>
      <c r="BM20" s="1" t="s">
        <v>73</v>
      </c>
      <c r="BN20" s="1" t="s">
        <v>73</v>
      </c>
      <c r="BO20" s="1" t="s">
        <v>73</v>
      </c>
      <c r="BP20" s="1" t="s">
        <v>73</v>
      </c>
      <c r="BQ20" s="1" t="s">
        <v>73</v>
      </c>
      <c r="BR20" s="1"/>
      <c r="BS20" s="1" t="s">
        <v>75</v>
      </c>
      <c r="BT20" s="1" t="s">
        <v>394</v>
      </c>
      <c r="BU20" s="1" t="s">
        <v>395</v>
      </c>
      <c r="BV20" s="1" t="s">
        <v>396</v>
      </c>
      <c r="BW20" s="1">
        <v>14</v>
      </c>
      <c r="BX20" s="1"/>
      <c r="BY20" s="1"/>
      <c r="BZ20" s="1"/>
      <c r="CA20" s="1"/>
      <c r="CB20" s="1"/>
      <c r="CC20" s="1"/>
      <c r="CD20" s="1"/>
      <c r="CE20" s="1"/>
      <c r="CF20" s="1"/>
      <c r="CG20" s="1"/>
      <c r="DC20" s="5"/>
      <c r="DD20" s="5"/>
      <c r="DI20" s="61"/>
      <c r="DL20"/>
      <c r="DM20"/>
      <c r="DN20"/>
      <c r="DO20"/>
      <c r="DP20"/>
      <c r="DQ20"/>
      <c r="DR20"/>
      <c r="DS20"/>
      <c r="DT20"/>
      <c r="DU20"/>
      <c r="DV20"/>
      <c r="DW20"/>
      <c r="EC20" s="1"/>
      <c r="ED20" s="1"/>
      <c r="EE20" s="1"/>
      <c r="EF20" s="1"/>
      <c r="EG20" s="1"/>
      <c r="EH20" s="1"/>
      <c r="EI20" s="1"/>
      <c r="EJ20" s="1"/>
      <c r="EO20"/>
      <c r="EP20"/>
      <c r="EQ20"/>
      <c r="ER20"/>
      <c r="ES20"/>
      <c r="ET20"/>
      <c r="EU20"/>
      <c r="EV20"/>
    </row>
    <row r="21" spans="1:152" ht="16" x14ac:dyDescent="0.2">
      <c r="A21" t="s">
        <v>138</v>
      </c>
      <c r="B21" t="s">
        <v>254</v>
      </c>
      <c r="C21" t="s">
        <v>255</v>
      </c>
      <c r="D21" s="1" t="s">
        <v>73</v>
      </c>
      <c r="E21" s="1" t="s">
        <v>72</v>
      </c>
      <c r="F21" s="1" t="s">
        <v>72</v>
      </c>
      <c r="G21" s="1" t="s">
        <v>73</v>
      </c>
      <c r="H21" s="1"/>
      <c r="I21" s="1">
        <v>6</v>
      </c>
      <c r="N21" s="1"/>
      <c r="O21" s="1"/>
      <c r="P21" s="1"/>
      <c r="Q21" s="1" t="s">
        <v>73</v>
      </c>
      <c r="R21" s="1" t="s">
        <v>73</v>
      </c>
      <c r="S21" s="1" t="s">
        <v>73</v>
      </c>
      <c r="T21" s="1"/>
      <c r="U21" s="1"/>
      <c r="V21" s="1"/>
      <c r="W21" s="1"/>
      <c r="X21" s="1"/>
      <c r="Y21" s="1"/>
      <c r="Z21" s="1" t="s">
        <v>72</v>
      </c>
      <c r="AA21" s="1" t="s">
        <v>73</v>
      </c>
      <c r="AC21" s="1"/>
      <c r="AE21" s="1"/>
      <c r="AF21" s="1"/>
      <c r="AK21" s="1" t="s">
        <v>73</v>
      </c>
      <c r="AL21" s="1" t="s">
        <v>72</v>
      </c>
      <c r="AM21" s="1">
        <v>6</v>
      </c>
      <c r="AN21" s="1" t="s">
        <v>72</v>
      </c>
      <c r="AO21" s="1">
        <v>6</v>
      </c>
      <c r="AP21" s="1" t="s">
        <v>73</v>
      </c>
      <c r="AR21" s="1" t="s">
        <v>72</v>
      </c>
      <c r="AS21" s="1">
        <v>6</v>
      </c>
      <c r="AT21" t="s">
        <v>73</v>
      </c>
      <c r="AW21" s="1">
        <v>68</v>
      </c>
      <c r="AX21" s="1">
        <v>7</v>
      </c>
      <c r="AY21" s="1" t="s">
        <v>73</v>
      </c>
      <c r="AZ21" s="1" t="s">
        <v>73</v>
      </c>
      <c r="BA21" s="126" t="s">
        <v>73</v>
      </c>
      <c r="BB21" s="1">
        <v>1920</v>
      </c>
      <c r="BC21" s="100">
        <v>45651.460856481484</v>
      </c>
      <c r="BD21" s="85">
        <v>45651.419189814813</v>
      </c>
      <c r="BE21" s="1" t="s">
        <v>255</v>
      </c>
      <c r="BF21" s="1" t="s">
        <v>78</v>
      </c>
      <c r="BG21" s="1" t="s">
        <v>76</v>
      </c>
      <c r="BH21" s="1" t="s">
        <v>77</v>
      </c>
      <c r="BI21" s="1" t="s">
        <v>286</v>
      </c>
      <c r="BJ21" s="1" t="s">
        <v>287</v>
      </c>
      <c r="BK21" s="1">
        <v>45</v>
      </c>
      <c r="BL21" s="1" t="s">
        <v>73</v>
      </c>
      <c r="BM21" s="1" t="s">
        <v>73</v>
      </c>
      <c r="BN21" s="1" t="s">
        <v>73</v>
      </c>
      <c r="BO21" s="1" t="s">
        <v>73</v>
      </c>
      <c r="BP21" s="1" t="s">
        <v>73</v>
      </c>
      <c r="BQ21" s="1" t="s">
        <v>73</v>
      </c>
      <c r="BR21" s="1"/>
      <c r="BS21" s="1" t="s">
        <v>73</v>
      </c>
      <c r="BT21" s="1" t="s">
        <v>369</v>
      </c>
      <c r="BU21" s="1" t="s">
        <v>369</v>
      </c>
      <c r="BV21" s="1" t="s">
        <v>369</v>
      </c>
      <c r="BW21" s="1"/>
      <c r="BX21" s="1"/>
      <c r="BY21" s="1"/>
      <c r="BZ21" s="1"/>
      <c r="CA21" s="1"/>
      <c r="CB21" s="1"/>
      <c r="CC21" s="1"/>
      <c r="CD21" s="1"/>
      <c r="CE21" s="1"/>
      <c r="CF21" s="1"/>
      <c r="CG21" s="1"/>
      <c r="DC21" s="5"/>
      <c r="DD21" s="5"/>
      <c r="DI21" s="61"/>
      <c r="DL21"/>
      <c r="DM21"/>
      <c r="DN21"/>
      <c r="DO21"/>
      <c r="DP21"/>
      <c r="DQ21"/>
      <c r="DR21"/>
      <c r="DS21"/>
      <c r="DT21"/>
      <c r="DU21"/>
      <c r="DV21"/>
      <c r="DW21"/>
      <c r="EC21" s="1"/>
      <c r="ED21" s="1"/>
      <c r="EE21" s="1"/>
      <c r="EF21" s="1"/>
      <c r="EG21" s="1"/>
      <c r="EH21" s="1"/>
      <c r="EI21" s="1"/>
      <c r="EJ21" s="1"/>
      <c r="EO21"/>
      <c r="EP21"/>
      <c r="EQ21"/>
      <c r="ER21"/>
      <c r="ES21"/>
      <c r="ET21"/>
      <c r="EU21"/>
      <c r="EV21"/>
    </row>
    <row r="22" spans="1:152" ht="16" x14ac:dyDescent="0.2">
      <c r="A22" t="s">
        <v>138</v>
      </c>
      <c r="B22" t="s">
        <v>278</v>
      </c>
      <c r="C22" t="s">
        <v>279</v>
      </c>
      <c r="D22" s="1" t="s">
        <v>73</v>
      </c>
      <c r="E22" s="1" t="s">
        <v>72</v>
      </c>
      <c r="F22" s="1" t="s">
        <v>72</v>
      </c>
      <c r="G22" s="1" t="s">
        <v>73</v>
      </c>
      <c r="H22" s="1" t="s">
        <v>72</v>
      </c>
      <c r="I22" s="1">
        <v>6</v>
      </c>
      <c r="J22">
        <v>6</v>
      </c>
      <c r="N22" s="1"/>
      <c r="O22" s="1"/>
      <c r="P22" s="1"/>
      <c r="Q22" s="1" t="s">
        <v>73</v>
      </c>
      <c r="R22" s="1" t="s">
        <v>73</v>
      </c>
      <c r="S22" s="1" t="s">
        <v>73</v>
      </c>
      <c r="T22" s="1"/>
      <c r="U22" s="1"/>
      <c r="V22" s="1"/>
      <c r="W22" s="1"/>
      <c r="X22" s="1"/>
      <c r="Y22" s="1"/>
      <c r="Z22" s="1" t="s">
        <v>73</v>
      </c>
      <c r="AA22" s="1" t="s">
        <v>73</v>
      </c>
      <c r="AB22">
        <v>3</v>
      </c>
      <c r="AC22" s="1">
        <v>3</v>
      </c>
      <c r="AE22" s="1"/>
      <c r="AF22" s="1"/>
      <c r="AG22">
        <v>3</v>
      </c>
      <c r="AK22" s="1" t="s">
        <v>72</v>
      </c>
      <c r="AL22" s="1" t="s">
        <v>72</v>
      </c>
      <c r="AM22" s="1">
        <v>6</v>
      </c>
      <c r="AN22" s="1" t="s">
        <v>72</v>
      </c>
      <c r="AO22" s="1">
        <v>6</v>
      </c>
      <c r="AP22" s="1" t="s">
        <v>73</v>
      </c>
      <c r="AR22" s="1" t="s">
        <v>73</v>
      </c>
      <c r="AT22" t="s">
        <v>73</v>
      </c>
      <c r="AW22" s="1">
        <v>100</v>
      </c>
      <c r="AX22" s="1">
        <v>30</v>
      </c>
      <c r="AY22" s="1" t="s">
        <v>72</v>
      </c>
      <c r="AZ22" s="1" t="s">
        <v>72</v>
      </c>
      <c r="BA22" s="126" t="s">
        <v>73</v>
      </c>
      <c r="BB22" s="1">
        <v>1917</v>
      </c>
      <c r="BC22" s="100">
        <v>45649.826215277775</v>
      </c>
      <c r="BD22" s="85">
        <v>45649.784548611111</v>
      </c>
      <c r="BE22" s="1" t="s">
        <v>73</v>
      </c>
      <c r="BF22" s="1" t="s">
        <v>73</v>
      </c>
      <c r="BG22" s="1" t="s">
        <v>73</v>
      </c>
      <c r="BH22" s="1" t="s">
        <v>73</v>
      </c>
      <c r="BI22" s="1" t="s">
        <v>73</v>
      </c>
      <c r="BJ22" s="1" t="s">
        <v>73</v>
      </c>
      <c r="BK22" s="1"/>
      <c r="BL22" s="1" t="s">
        <v>73</v>
      </c>
      <c r="BM22" s="1" t="s">
        <v>73</v>
      </c>
      <c r="BN22" s="1" t="s">
        <v>73</v>
      </c>
      <c r="BO22" s="1" t="s">
        <v>73</v>
      </c>
      <c r="BP22" s="1" t="s">
        <v>73</v>
      </c>
      <c r="BQ22" s="1" t="s">
        <v>73</v>
      </c>
      <c r="BR22" s="1"/>
      <c r="BS22" s="1" t="s">
        <v>75</v>
      </c>
      <c r="BT22" s="1" t="s">
        <v>376</v>
      </c>
      <c r="BU22" s="1" t="s">
        <v>377</v>
      </c>
      <c r="BV22" s="1" t="s">
        <v>378</v>
      </c>
      <c r="BW22" s="1">
        <v>12</v>
      </c>
      <c r="BX22" s="1"/>
      <c r="BY22" s="1"/>
      <c r="BZ22" s="1"/>
      <c r="CA22" s="1"/>
      <c r="CB22" s="1"/>
      <c r="CC22" s="1"/>
      <c r="CD22" s="1"/>
      <c r="CE22" s="1"/>
      <c r="CF22" s="1"/>
      <c r="CG22" s="1"/>
      <c r="DC22" s="5"/>
      <c r="DD22" s="5"/>
      <c r="DI22" s="61"/>
      <c r="DL22"/>
      <c r="DM22"/>
      <c r="DN22"/>
      <c r="DO22"/>
      <c r="DP22"/>
      <c r="DQ22"/>
      <c r="DR22"/>
      <c r="DS22"/>
      <c r="DT22"/>
      <c r="DU22"/>
      <c r="DV22"/>
      <c r="DW22"/>
      <c r="EC22" s="1"/>
      <c r="ED22" s="1"/>
      <c r="EE22" s="1"/>
      <c r="EF22" s="1"/>
      <c r="EG22" s="1"/>
      <c r="EH22" s="1"/>
      <c r="EI22" s="1"/>
      <c r="EJ22" s="1"/>
      <c r="EO22"/>
      <c r="EP22"/>
      <c r="EQ22"/>
      <c r="ER22"/>
      <c r="ES22"/>
      <c r="ET22"/>
      <c r="EU22"/>
      <c r="EV22"/>
    </row>
    <row r="23" spans="1:152" ht="16" x14ac:dyDescent="0.2">
      <c r="A23" t="s">
        <v>138</v>
      </c>
      <c r="B23" t="s">
        <v>269</v>
      </c>
      <c r="C23" t="s">
        <v>270</v>
      </c>
      <c r="D23" s="1" t="s">
        <v>73</v>
      </c>
      <c r="E23" s="1" t="s">
        <v>72</v>
      </c>
      <c r="F23" s="1" t="s">
        <v>73</v>
      </c>
      <c r="G23" s="1" t="s">
        <v>73</v>
      </c>
      <c r="H23" s="1"/>
      <c r="I23" s="1"/>
      <c r="J23">
        <v>5</v>
      </c>
      <c r="N23" s="1"/>
      <c r="O23" s="1"/>
      <c r="P23" s="1"/>
      <c r="Q23" s="1" t="s">
        <v>73</v>
      </c>
      <c r="R23" s="1" t="s">
        <v>73</v>
      </c>
      <c r="S23" s="1" t="s">
        <v>73</v>
      </c>
      <c r="T23" s="1"/>
      <c r="U23" s="1"/>
      <c r="V23" s="1"/>
      <c r="W23" s="1"/>
      <c r="X23" s="1"/>
      <c r="Y23" s="1"/>
      <c r="Z23" s="1" t="s">
        <v>73</v>
      </c>
      <c r="AA23" s="1" t="s">
        <v>73</v>
      </c>
      <c r="AC23" s="1">
        <v>5</v>
      </c>
      <c r="AE23" s="1">
        <v>2</v>
      </c>
      <c r="AF23" s="1"/>
      <c r="AG23">
        <v>5</v>
      </c>
      <c r="AI23">
        <v>2</v>
      </c>
      <c r="AK23" s="1" t="s">
        <v>73</v>
      </c>
      <c r="AL23" s="1" t="s">
        <v>72</v>
      </c>
      <c r="AM23" s="1">
        <v>4</v>
      </c>
      <c r="AN23" s="1" t="s">
        <v>72</v>
      </c>
      <c r="AO23" s="1">
        <v>4</v>
      </c>
      <c r="AP23" s="1" t="s">
        <v>73</v>
      </c>
      <c r="AR23" s="1" t="s">
        <v>72</v>
      </c>
      <c r="AS23" s="1">
        <v>4</v>
      </c>
      <c r="AT23" t="s">
        <v>73</v>
      </c>
      <c r="AW23" s="1">
        <v>50</v>
      </c>
      <c r="AX23" s="1">
        <v>10</v>
      </c>
      <c r="AY23" s="1" t="s">
        <v>73</v>
      </c>
      <c r="AZ23" s="1" t="s">
        <v>73</v>
      </c>
      <c r="BA23" s="126" t="s">
        <v>73</v>
      </c>
      <c r="BB23" s="1">
        <v>1909</v>
      </c>
      <c r="BC23" s="100">
        <v>45649.61141203704</v>
      </c>
      <c r="BD23" s="85">
        <v>45649.569745370369</v>
      </c>
      <c r="BE23" s="1" t="s">
        <v>73</v>
      </c>
      <c r="BF23" s="1" t="s">
        <v>73</v>
      </c>
      <c r="BG23" s="1" t="s">
        <v>73</v>
      </c>
      <c r="BH23" s="1" t="s">
        <v>73</v>
      </c>
      <c r="BI23" s="1" t="s">
        <v>73</v>
      </c>
      <c r="BJ23" s="1" t="s">
        <v>73</v>
      </c>
      <c r="BK23" s="1"/>
      <c r="BL23" s="1" t="s">
        <v>73</v>
      </c>
      <c r="BM23" s="1" t="s">
        <v>73</v>
      </c>
      <c r="BN23" s="1" t="s">
        <v>73</v>
      </c>
      <c r="BO23" s="1" t="s">
        <v>73</v>
      </c>
      <c r="BP23" s="1" t="s">
        <v>73</v>
      </c>
      <c r="BQ23" s="1" t="s">
        <v>73</v>
      </c>
      <c r="BR23" s="1"/>
      <c r="BS23" s="1" t="s">
        <v>73</v>
      </c>
      <c r="BT23" s="1" t="s">
        <v>369</v>
      </c>
      <c r="BU23" s="1" t="s">
        <v>369</v>
      </c>
      <c r="BV23" s="1" t="s">
        <v>369</v>
      </c>
      <c r="BW23" s="1"/>
      <c r="BX23" s="1"/>
      <c r="BY23" s="1"/>
      <c r="BZ23" s="1"/>
      <c r="CA23" s="1"/>
      <c r="CB23" s="1"/>
      <c r="CC23" s="1"/>
      <c r="CD23" s="1"/>
      <c r="CE23" s="1"/>
      <c r="CF23" s="1"/>
      <c r="CG23" s="1"/>
      <c r="DC23" s="5"/>
      <c r="DD23" s="5"/>
      <c r="DI23" s="61"/>
      <c r="DL23"/>
      <c r="DM23"/>
      <c r="DN23"/>
      <c r="DO23"/>
      <c r="DP23"/>
      <c r="DQ23"/>
      <c r="DR23"/>
      <c r="DS23"/>
      <c r="DT23"/>
      <c r="DU23"/>
      <c r="DV23"/>
      <c r="DW23"/>
      <c r="EC23" s="1"/>
      <c r="ED23" s="1"/>
      <c r="EE23" s="1"/>
      <c r="EF23" s="1"/>
      <c r="EG23" s="1"/>
      <c r="EH23" s="1"/>
      <c r="EI23" s="1"/>
      <c r="EJ23" s="1"/>
      <c r="EO23"/>
      <c r="EP23"/>
      <c r="EQ23"/>
      <c r="ER23"/>
      <c r="ES23"/>
      <c r="ET23"/>
      <c r="EU23"/>
      <c r="EV23"/>
    </row>
    <row r="24" spans="1:152" ht="16" x14ac:dyDescent="0.2">
      <c r="A24" t="s">
        <v>138</v>
      </c>
      <c r="B24" t="s">
        <v>185</v>
      </c>
      <c r="C24" t="s">
        <v>133</v>
      </c>
      <c r="D24" s="1" t="s">
        <v>73</v>
      </c>
      <c r="E24" s="1" t="s">
        <v>72</v>
      </c>
      <c r="F24" s="1" t="s">
        <v>73</v>
      </c>
      <c r="G24" s="1" t="s">
        <v>73</v>
      </c>
      <c r="H24" s="1"/>
      <c r="I24" s="1">
        <v>9</v>
      </c>
      <c r="J24">
        <v>3</v>
      </c>
      <c r="L24">
        <v>3</v>
      </c>
      <c r="N24" s="1"/>
      <c r="O24" s="1"/>
      <c r="P24" s="1"/>
      <c r="Q24" s="1" t="s">
        <v>73</v>
      </c>
      <c r="R24" s="1" t="s">
        <v>73</v>
      </c>
      <c r="S24" s="1" t="s">
        <v>73</v>
      </c>
      <c r="T24" s="1"/>
      <c r="U24" s="1"/>
      <c r="V24" s="1"/>
      <c r="W24" s="1"/>
      <c r="X24" s="1"/>
      <c r="Y24" s="1"/>
      <c r="Z24" s="1" t="s">
        <v>73</v>
      </c>
      <c r="AA24" s="1" t="s">
        <v>73</v>
      </c>
      <c r="AC24" s="1">
        <v>3</v>
      </c>
      <c r="AE24" s="1"/>
      <c r="AF24" s="1"/>
      <c r="AG24">
        <v>3</v>
      </c>
      <c r="AK24" s="1" t="s">
        <v>73</v>
      </c>
      <c r="AL24" s="1" t="s">
        <v>72</v>
      </c>
      <c r="AM24" s="1">
        <v>6</v>
      </c>
      <c r="AN24" s="1" t="s">
        <v>72</v>
      </c>
      <c r="AO24" s="1">
        <v>6</v>
      </c>
      <c r="AP24" s="1" t="s">
        <v>73</v>
      </c>
      <c r="AR24" s="1" t="s">
        <v>72</v>
      </c>
      <c r="AS24" s="1">
        <v>6</v>
      </c>
      <c r="AT24" t="s">
        <v>73</v>
      </c>
      <c r="AW24" s="1">
        <v>68</v>
      </c>
      <c r="AX24" s="1">
        <v>3</v>
      </c>
      <c r="AY24" s="1" t="s">
        <v>73</v>
      </c>
      <c r="AZ24" s="1" t="s">
        <v>73</v>
      </c>
      <c r="BA24" s="126" t="s">
        <v>73</v>
      </c>
      <c r="BB24" s="1">
        <v>1904</v>
      </c>
      <c r="BC24" s="100">
        <v>45649.545995370368</v>
      </c>
      <c r="BD24" s="85">
        <v>45655.582002314812</v>
      </c>
      <c r="BE24" s="1" t="s">
        <v>73</v>
      </c>
      <c r="BF24" s="1" t="s">
        <v>73</v>
      </c>
      <c r="BG24" s="1" t="s">
        <v>73</v>
      </c>
      <c r="BH24" s="1" t="s">
        <v>73</v>
      </c>
      <c r="BI24" s="1" t="s">
        <v>73</v>
      </c>
      <c r="BJ24" s="1" t="s">
        <v>73</v>
      </c>
      <c r="BK24" s="1"/>
      <c r="BL24" s="1" t="s">
        <v>73</v>
      </c>
      <c r="BM24" s="1" t="s">
        <v>73</v>
      </c>
      <c r="BN24" s="1" t="s">
        <v>73</v>
      </c>
      <c r="BO24" s="1" t="s">
        <v>73</v>
      </c>
      <c r="BP24" s="1" t="s">
        <v>73</v>
      </c>
      <c r="BQ24" s="1" t="s">
        <v>73</v>
      </c>
      <c r="BR24" s="1"/>
      <c r="BS24" s="1" t="s">
        <v>73</v>
      </c>
      <c r="BT24" s="1" t="s">
        <v>369</v>
      </c>
      <c r="BU24" s="1" t="s">
        <v>369</v>
      </c>
      <c r="BV24" s="1" t="s">
        <v>369</v>
      </c>
      <c r="BW24" s="1"/>
      <c r="BX24" s="1"/>
      <c r="BY24" s="1"/>
      <c r="BZ24" s="1"/>
      <c r="CA24" s="1"/>
      <c r="CB24" s="1"/>
      <c r="CC24" s="1"/>
      <c r="CD24" s="1"/>
      <c r="CE24" s="1"/>
      <c r="CF24" s="1"/>
      <c r="CG24" s="1"/>
      <c r="DC24" s="5"/>
      <c r="DD24" s="5"/>
      <c r="DI24" s="61"/>
      <c r="DL24"/>
      <c r="DM24"/>
      <c r="DN24"/>
      <c r="DO24"/>
      <c r="DP24"/>
      <c r="DQ24"/>
      <c r="DR24"/>
      <c r="DS24"/>
      <c r="DT24"/>
      <c r="DU24"/>
      <c r="DV24"/>
      <c r="DW24"/>
      <c r="EC24" s="1"/>
      <c r="ED24" s="1"/>
      <c r="EE24" s="1"/>
      <c r="EF24" s="1"/>
      <c r="EG24" s="1"/>
      <c r="EH24" s="1"/>
      <c r="EI24" s="1"/>
      <c r="EJ24" s="1"/>
      <c r="EO24"/>
      <c r="EP24"/>
      <c r="EQ24"/>
      <c r="ER24"/>
      <c r="ES24"/>
      <c r="ET24"/>
      <c r="EU24"/>
      <c r="EV24"/>
    </row>
    <row r="25" spans="1:152" ht="16" x14ac:dyDescent="0.2">
      <c r="A25" t="s">
        <v>138</v>
      </c>
      <c r="B25" t="s">
        <v>174</v>
      </c>
      <c r="C25" t="s">
        <v>130</v>
      </c>
      <c r="D25" s="1" t="s">
        <v>73</v>
      </c>
      <c r="E25" s="1" t="s">
        <v>72</v>
      </c>
      <c r="F25" s="1" t="s">
        <v>73</v>
      </c>
      <c r="G25" s="1" t="s">
        <v>73</v>
      </c>
      <c r="H25" s="1"/>
      <c r="I25" s="1">
        <v>4</v>
      </c>
      <c r="N25" s="1"/>
      <c r="O25" s="1"/>
      <c r="P25" s="1"/>
      <c r="Q25" s="1" t="s">
        <v>73</v>
      </c>
      <c r="R25" s="1" t="s">
        <v>73</v>
      </c>
      <c r="S25" s="1" t="s">
        <v>73</v>
      </c>
      <c r="T25" s="1"/>
      <c r="U25" s="1"/>
      <c r="V25" s="1"/>
      <c r="W25" s="1"/>
      <c r="X25" s="1"/>
      <c r="Y25" s="1"/>
      <c r="Z25" s="1" t="s">
        <v>73</v>
      </c>
      <c r="AA25" s="1" t="s">
        <v>73</v>
      </c>
      <c r="AC25" s="1"/>
      <c r="AE25" s="1"/>
      <c r="AF25" s="1"/>
      <c r="AK25" s="1" t="s">
        <v>73</v>
      </c>
      <c r="AL25" s="1" t="s">
        <v>72</v>
      </c>
      <c r="AM25" s="1">
        <v>4</v>
      </c>
      <c r="AN25" s="1" t="s">
        <v>72</v>
      </c>
      <c r="AO25" s="1">
        <v>4</v>
      </c>
      <c r="AP25" s="1" t="s">
        <v>73</v>
      </c>
      <c r="AR25" s="1" t="s">
        <v>73</v>
      </c>
      <c r="AT25" t="s">
        <v>73</v>
      </c>
      <c r="AW25" s="1">
        <v>35</v>
      </c>
      <c r="AX25" s="1">
        <v>0</v>
      </c>
      <c r="AY25" s="1" t="s">
        <v>73</v>
      </c>
      <c r="AZ25" s="1" t="s">
        <v>73</v>
      </c>
      <c r="BA25" s="126" t="s">
        <v>73</v>
      </c>
      <c r="BB25" s="1">
        <v>1901</v>
      </c>
      <c r="BC25" s="100">
        <v>45649.41201388889</v>
      </c>
      <c r="BD25" s="85">
        <v>45649.370347222219</v>
      </c>
      <c r="BE25" s="1" t="s">
        <v>73</v>
      </c>
      <c r="BF25" s="1" t="s">
        <v>73</v>
      </c>
      <c r="BG25" s="1" t="s">
        <v>73</v>
      </c>
      <c r="BH25" s="1" t="s">
        <v>73</v>
      </c>
      <c r="BI25" s="1" t="s">
        <v>73</v>
      </c>
      <c r="BJ25" s="1" t="s">
        <v>73</v>
      </c>
      <c r="BK25" s="1"/>
      <c r="BL25" s="1" t="s">
        <v>73</v>
      </c>
      <c r="BM25" s="1" t="s">
        <v>73</v>
      </c>
      <c r="BN25" s="1" t="s">
        <v>73</v>
      </c>
      <c r="BO25" s="1" t="s">
        <v>73</v>
      </c>
      <c r="BP25" s="1" t="s">
        <v>73</v>
      </c>
      <c r="BQ25" s="1" t="s">
        <v>73</v>
      </c>
      <c r="BR25" s="1"/>
      <c r="BS25" s="1" t="s">
        <v>73</v>
      </c>
      <c r="BT25" s="1" t="s">
        <v>369</v>
      </c>
      <c r="BU25" s="1" t="s">
        <v>369</v>
      </c>
      <c r="BV25" s="1" t="s">
        <v>369</v>
      </c>
      <c r="BW25" s="1"/>
      <c r="BX25" s="1"/>
      <c r="BY25" s="1"/>
      <c r="BZ25" s="1"/>
      <c r="CA25" s="1"/>
      <c r="CB25" s="1"/>
      <c r="CC25" s="1"/>
      <c r="CD25" s="1"/>
      <c r="CE25" s="1"/>
      <c r="CF25" s="1"/>
      <c r="CG25" s="1"/>
      <c r="DC25" s="5"/>
      <c r="DD25" s="5"/>
      <c r="DI25" s="61"/>
      <c r="DL25"/>
      <c r="DM25"/>
      <c r="DN25"/>
      <c r="DO25"/>
      <c r="DP25"/>
      <c r="DQ25"/>
      <c r="DR25"/>
      <c r="DS25"/>
      <c r="DT25"/>
      <c r="DU25"/>
      <c r="DV25"/>
      <c r="DW25"/>
      <c r="EC25" s="1"/>
      <c r="ED25" s="1"/>
      <c r="EE25" s="1"/>
      <c r="EF25" s="1"/>
      <c r="EG25" s="1"/>
      <c r="EH25" s="1"/>
      <c r="EI25" s="1"/>
      <c r="EJ25" s="1"/>
      <c r="EO25"/>
      <c r="EP25"/>
      <c r="EQ25"/>
      <c r="ER25"/>
      <c r="ES25"/>
      <c r="ET25"/>
      <c r="EU25"/>
      <c r="EV25"/>
    </row>
    <row r="26" spans="1:152" ht="16" x14ac:dyDescent="0.2">
      <c r="A26" t="s">
        <v>138</v>
      </c>
      <c r="B26" t="s">
        <v>262</v>
      </c>
      <c r="C26" t="s">
        <v>263</v>
      </c>
      <c r="D26" s="1" t="s">
        <v>73</v>
      </c>
      <c r="E26" s="1" t="s">
        <v>72</v>
      </c>
      <c r="F26" s="1" t="s">
        <v>72</v>
      </c>
      <c r="G26" s="1" t="s">
        <v>72</v>
      </c>
      <c r="H26" s="1" t="s">
        <v>74</v>
      </c>
      <c r="I26" s="1">
        <v>10</v>
      </c>
      <c r="L26">
        <v>3</v>
      </c>
      <c r="N26" s="1">
        <v>4</v>
      </c>
      <c r="O26" s="1"/>
      <c r="P26" s="1"/>
      <c r="Q26" s="1" t="s">
        <v>73</v>
      </c>
      <c r="R26" s="1" t="s">
        <v>73</v>
      </c>
      <c r="S26" s="1" t="s">
        <v>73</v>
      </c>
      <c r="T26" s="1">
        <v>1</v>
      </c>
      <c r="U26" s="1">
        <v>1</v>
      </c>
      <c r="V26" s="1">
        <v>1</v>
      </c>
      <c r="W26" s="1">
        <v>1</v>
      </c>
      <c r="X26" s="1">
        <v>1</v>
      </c>
      <c r="Y26" s="1">
        <v>1</v>
      </c>
      <c r="Z26" s="1" t="s">
        <v>73</v>
      </c>
      <c r="AA26" s="1" t="s">
        <v>73</v>
      </c>
      <c r="AB26">
        <v>5</v>
      </c>
      <c r="AC26" s="1">
        <v>9</v>
      </c>
      <c r="AE26" s="1">
        <v>1</v>
      </c>
      <c r="AF26" s="1"/>
      <c r="AG26">
        <v>9</v>
      </c>
      <c r="AI26">
        <v>1</v>
      </c>
      <c r="AK26" s="1" t="s">
        <v>73</v>
      </c>
      <c r="AL26" s="1" t="s">
        <v>72</v>
      </c>
      <c r="AM26" s="1">
        <v>6</v>
      </c>
      <c r="AN26" s="1" t="s">
        <v>73</v>
      </c>
      <c r="AP26" s="1" t="s">
        <v>73</v>
      </c>
      <c r="AR26" s="1" t="s">
        <v>72</v>
      </c>
      <c r="AS26" s="1">
        <v>6</v>
      </c>
      <c r="AT26" t="s">
        <v>72</v>
      </c>
      <c r="AU26">
        <v>1</v>
      </c>
      <c r="AV26">
        <v>1</v>
      </c>
      <c r="AW26" s="1">
        <v>70</v>
      </c>
      <c r="AX26" s="1">
        <v>26</v>
      </c>
      <c r="AY26" s="1" t="s">
        <v>73</v>
      </c>
      <c r="AZ26" s="1" t="s">
        <v>73</v>
      </c>
      <c r="BA26" s="126" t="s">
        <v>73</v>
      </c>
      <c r="BB26" s="1">
        <v>1900</v>
      </c>
      <c r="BC26" s="100">
        <v>45648.900243055556</v>
      </c>
      <c r="BD26" s="85">
        <v>45648.858576388891</v>
      </c>
      <c r="BE26" s="1" t="s">
        <v>73</v>
      </c>
      <c r="BF26" s="1" t="s">
        <v>73</v>
      </c>
      <c r="BG26" s="1" t="s">
        <v>73</v>
      </c>
      <c r="BH26" s="1" t="s">
        <v>73</v>
      </c>
      <c r="BI26" s="1" t="s">
        <v>73</v>
      </c>
      <c r="BJ26" s="1" t="s">
        <v>73</v>
      </c>
      <c r="BK26" s="1"/>
      <c r="BL26" s="1" t="s">
        <v>73</v>
      </c>
      <c r="BM26" s="1" t="s">
        <v>73</v>
      </c>
      <c r="BN26" s="1" t="s">
        <v>73</v>
      </c>
      <c r="BO26" s="1" t="s">
        <v>73</v>
      </c>
      <c r="BP26" s="1" t="s">
        <v>73</v>
      </c>
      <c r="BQ26" s="1" t="s">
        <v>73</v>
      </c>
      <c r="BR26" s="1"/>
      <c r="BS26" s="1" t="s">
        <v>75</v>
      </c>
      <c r="BT26" s="1" t="s">
        <v>379</v>
      </c>
      <c r="BU26" s="1" t="s">
        <v>390</v>
      </c>
      <c r="BV26" s="1" t="s">
        <v>381</v>
      </c>
      <c r="BW26" s="1">
        <v>20</v>
      </c>
      <c r="BX26" s="1"/>
      <c r="BY26" s="1"/>
      <c r="BZ26" s="1"/>
      <c r="CA26" s="1"/>
      <c r="CB26" s="1"/>
      <c r="CC26" s="1"/>
      <c r="CD26" s="1"/>
      <c r="CE26" s="1"/>
      <c r="CF26" s="1"/>
      <c r="CG26" s="1"/>
      <c r="DC26" s="5"/>
      <c r="DD26" s="5"/>
      <c r="DI26" s="61"/>
      <c r="DL26"/>
      <c r="DM26"/>
      <c r="DN26"/>
      <c r="DO26"/>
      <c r="DP26"/>
      <c r="DQ26"/>
      <c r="DR26"/>
      <c r="DS26"/>
      <c r="DT26"/>
      <c r="DU26"/>
      <c r="DV26"/>
      <c r="DW26"/>
      <c r="EC26" s="1"/>
      <c r="ED26" s="1"/>
      <c r="EE26" s="1"/>
      <c r="EF26" s="1"/>
      <c r="EG26" s="1"/>
      <c r="EH26" s="1"/>
      <c r="EI26" s="1"/>
      <c r="EJ26" s="1"/>
      <c r="EO26"/>
      <c r="EP26"/>
      <c r="EQ26"/>
      <c r="ER26"/>
      <c r="ES26"/>
      <c r="ET26"/>
      <c r="EU26"/>
      <c r="EV26"/>
    </row>
    <row r="27" spans="1:152" ht="16" x14ac:dyDescent="0.2">
      <c r="A27" t="s">
        <v>138</v>
      </c>
      <c r="B27" t="s">
        <v>259</v>
      </c>
      <c r="C27" t="s">
        <v>260</v>
      </c>
      <c r="D27" s="1" t="s">
        <v>73</v>
      </c>
      <c r="E27" s="1" t="s">
        <v>73</v>
      </c>
      <c r="F27" s="1" t="s">
        <v>72</v>
      </c>
      <c r="G27" s="1" t="s">
        <v>73</v>
      </c>
      <c r="H27" s="1"/>
      <c r="I27" s="1">
        <v>4</v>
      </c>
      <c r="N27" s="1"/>
      <c r="O27" s="1"/>
      <c r="P27" s="1"/>
      <c r="Q27" s="1" t="s">
        <v>73</v>
      </c>
      <c r="R27" s="1" t="s">
        <v>73</v>
      </c>
      <c r="S27" s="1" t="s">
        <v>73</v>
      </c>
      <c r="T27" s="1"/>
      <c r="U27" s="1"/>
      <c r="V27" s="1"/>
      <c r="W27" s="1"/>
      <c r="X27" s="1"/>
      <c r="Y27" s="1"/>
      <c r="Z27" s="1" t="s">
        <v>73</v>
      </c>
      <c r="AA27" s="1" t="s">
        <v>73</v>
      </c>
      <c r="AC27" s="1"/>
      <c r="AE27" s="1"/>
      <c r="AF27" s="1"/>
      <c r="AK27" s="1" t="s">
        <v>73</v>
      </c>
      <c r="AL27" s="1" t="s">
        <v>72</v>
      </c>
      <c r="AM27" s="1">
        <v>6</v>
      </c>
      <c r="AN27" s="1" t="s">
        <v>72</v>
      </c>
      <c r="AO27" s="1">
        <v>6</v>
      </c>
      <c r="AP27" s="1" t="s">
        <v>73</v>
      </c>
      <c r="AR27" s="1" t="s">
        <v>73</v>
      </c>
      <c r="AT27" t="s">
        <v>73</v>
      </c>
      <c r="AW27" s="1">
        <v>15</v>
      </c>
      <c r="AX27" s="1">
        <v>2</v>
      </c>
      <c r="AY27" s="1" t="s">
        <v>73</v>
      </c>
      <c r="AZ27" s="1" t="s">
        <v>73</v>
      </c>
      <c r="BA27" s="126" t="s">
        <v>261</v>
      </c>
      <c r="BB27" s="1">
        <v>1895</v>
      </c>
      <c r="BC27" s="100">
        <v>45648.814293981479</v>
      </c>
      <c r="BD27" s="85">
        <v>45648.772627314815</v>
      </c>
      <c r="BE27" s="1" t="s">
        <v>73</v>
      </c>
      <c r="BF27" s="1" t="s">
        <v>73</v>
      </c>
      <c r="BG27" s="1" t="s">
        <v>73</v>
      </c>
      <c r="BH27" s="1" t="s">
        <v>73</v>
      </c>
      <c r="BI27" s="1" t="s">
        <v>73</v>
      </c>
      <c r="BJ27" s="1" t="s">
        <v>73</v>
      </c>
      <c r="BK27" s="1"/>
      <c r="BL27" s="1" t="s">
        <v>73</v>
      </c>
      <c r="BM27" s="1" t="s">
        <v>73</v>
      </c>
      <c r="BN27" s="1" t="s">
        <v>73</v>
      </c>
      <c r="BO27" s="1" t="s">
        <v>73</v>
      </c>
      <c r="BP27" s="1" t="s">
        <v>73</v>
      </c>
      <c r="BQ27" s="1" t="s">
        <v>73</v>
      </c>
      <c r="BR27" s="1"/>
      <c r="BS27" s="1" t="s">
        <v>73</v>
      </c>
      <c r="BT27" s="1" t="s">
        <v>369</v>
      </c>
      <c r="BU27" s="1" t="s">
        <v>369</v>
      </c>
      <c r="BV27" s="1" t="s">
        <v>369</v>
      </c>
      <c r="BW27" s="1"/>
      <c r="BX27" s="1"/>
      <c r="BY27" s="1"/>
      <c r="BZ27" s="1"/>
      <c r="CA27" s="1"/>
      <c r="CB27" s="1"/>
      <c r="CC27" s="1"/>
      <c r="CD27" s="1"/>
      <c r="CE27" s="1"/>
      <c r="CF27" s="1"/>
      <c r="CG27" s="1"/>
      <c r="DC27" s="5"/>
      <c r="DD27" s="5"/>
      <c r="DI27" s="61"/>
      <c r="DL27"/>
      <c r="DM27"/>
      <c r="DN27"/>
      <c r="DO27"/>
      <c r="DP27"/>
      <c r="DQ27"/>
      <c r="DR27"/>
      <c r="DS27"/>
      <c r="DT27"/>
      <c r="DU27"/>
      <c r="DV27"/>
      <c r="DW27"/>
      <c r="EC27" s="1"/>
      <c r="ED27" s="1"/>
      <c r="EE27" s="1"/>
      <c r="EF27" s="1"/>
      <c r="EG27" s="1"/>
      <c r="EH27" s="1"/>
      <c r="EI27" s="1"/>
      <c r="EJ27" s="1"/>
      <c r="EO27"/>
      <c r="EP27"/>
      <c r="EQ27"/>
      <c r="ER27"/>
      <c r="ES27"/>
      <c r="ET27"/>
      <c r="EU27"/>
      <c r="EV27"/>
    </row>
    <row r="28" spans="1:152" ht="16" x14ac:dyDescent="0.2">
      <c r="A28" t="s">
        <v>138</v>
      </c>
      <c r="B28" t="s">
        <v>257</v>
      </c>
      <c r="C28" t="s">
        <v>258</v>
      </c>
      <c r="D28" s="1" t="s">
        <v>72</v>
      </c>
      <c r="E28" s="1" t="s">
        <v>73</v>
      </c>
      <c r="F28" s="1" t="s">
        <v>73</v>
      </c>
      <c r="G28" s="1" t="s">
        <v>73</v>
      </c>
      <c r="H28" s="1"/>
      <c r="I28" s="1"/>
      <c r="N28" s="1"/>
      <c r="O28" s="1"/>
      <c r="P28" s="1"/>
      <c r="Q28" s="1" t="s">
        <v>73</v>
      </c>
      <c r="R28" s="1" t="s">
        <v>73</v>
      </c>
      <c r="S28" s="1" t="s">
        <v>73</v>
      </c>
      <c r="T28" s="1"/>
      <c r="U28" s="1"/>
      <c r="V28" s="1"/>
      <c r="W28" s="1"/>
      <c r="X28" s="1"/>
      <c r="Y28" s="1"/>
      <c r="Z28" s="1" t="s">
        <v>73</v>
      </c>
      <c r="AA28" s="1" t="s">
        <v>73</v>
      </c>
      <c r="AC28" s="1"/>
      <c r="AE28" s="1"/>
      <c r="AF28" s="1"/>
      <c r="AK28" s="1" t="s">
        <v>73</v>
      </c>
      <c r="AL28" s="1" t="s">
        <v>73</v>
      </c>
      <c r="AN28" s="1" t="s">
        <v>73</v>
      </c>
      <c r="AP28" s="1" t="s">
        <v>73</v>
      </c>
      <c r="AR28" s="1" t="s">
        <v>73</v>
      </c>
      <c r="AT28" t="s">
        <v>73</v>
      </c>
      <c r="AW28" s="1">
        <v>4</v>
      </c>
      <c r="AX28" s="1">
        <v>0</v>
      </c>
      <c r="AY28" s="1" t="s">
        <v>73</v>
      </c>
      <c r="AZ28" s="1" t="s">
        <v>73</v>
      </c>
      <c r="BA28" s="126" t="s">
        <v>73</v>
      </c>
      <c r="BB28" s="1">
        <v>1892</v>
      </c>
      <c r="BC28" s="100">
        <v>45648.416087962964</v>
      </c>
      <c r="BD28" s="85">
        <v>45648.374421296299</v>
      </c>
      <c r="BE28" s="1" t="s">
        <v>73</v>
      </c>
      <c r="BF28" s="1" t="s">
        <v>73</v>
      </c>
      <c r="BG28" s="1" t="s">
        <v>73</v>
      </c>
      <c r="BH28" s="1" t="s">
        <v>73</v>
      </c>
      <c r="BI28" s="1" t="s">
        <v>73</v>
      </c>
      <c r="BJ28" s="1" t="s">
        <v>73</v>
      </c>
      <c r="BK28" s="1"/>
      <c r="BL28" s="1" t="s">
        <v>73</v>
      </c>
      <c r="BM28" s="1" t="s">
        <v>73</v>
      </c>
      <c r="BN28" s="1" t="s">
        <v>73</v>
      </c>
      <c r="BO28" s="1" t="s">
        <v>73</v>
      </c>
      <c r="BP28" s="1" t="s">
        <v>73</v>
      </c>
      <c r="BQ28" s="1" t="s">
        <v>73</v>
      </c>
      <c r="BR28" s="1"/>
      <c r="BS28" s="1" t="s">
        <v>73</v>
      </c>
      <c r="BT28" s="1" t="s">
        <v>369</v>
      </c>
      <c r="BU28" s="1" t="s">
        <v>369</v>
      </c>
      <c r="BV28" s="1" t="s">
        <v>369</v>
      </c>
      <c r="BW28" s="1"/>
      <c r="BX28" s="1"/>
      <c r="BY28" s="1"/>
      <c r="BZ28" s="1"/>
      <c r="CA28" s="1"/>
      <c r="CB28" s="1"/>
      <c r="CC28" s="1"/>
      <c r="CD28" s="1"/>
      <c r="CE28" s="1"/>
      <c r="CF28" s="1"/>
      <c r="CG28" s="1"/>
      <c r="DC28" s="5"/>
      <c r="DD28" s="5"/>
      <c r="DI28" s="61"/>
      <c r="DL28"/>
      <c r="DM28"/>
      <c r="DN28"/>
      <c r="DO28"/>
      <c r="DP28"/>
      <c r="DQ28"/>
      <c r="DR28"/>
      <c r="DS28"/>
      <c r="DT28"/>
      <c r="DU28"/>
      <c r="DV28"/>
      <c r="DW28"/>
      <c r="EC28" s="1"/>
      <c r="ED28" s="1"/>
      <c r="EE28" s="1"/>
      <c r="EF28" s="1"/>
      <c r="EG28" s="1"/>
      <c r="EH28" s="1"/>
      <c r="EI28" s="1"/>
      <c r="EJ28" s="1"/>
      <c r="EO28"/>
      <c r="EP28"/>
      <c r="EQ28"/>
      <c r="ER28"/>
      <c r="ES28"/>
      <c r="ET28"/>
      <c r="EU28"/>
      <c r="EV28"/>
    </row>
    <row r="29" spans="1:152" ht="16" x14ac:dyDescent="0.2">
      <c r="A29" t="s">
        <v>138</v>
      </c>
      <c r="B29" t="s">
        <v>247</v>
      </c>
      <c r="C29" t="s">
        <v>248</v>
      </c>
      <c r="D29" s="1" t="s">
        <v>73</v>
      </c>
      <c r="E29" s="1" t="s">
        <v>72</v>
      </c>
      <c r="F29" s="1" t="s">
        <v>72</v>
      </c>
      <c r="G29" s="1" t="s">
        <v>73</v>
      </c>
      <c r="H29" s="1"/>
      <c r="I29" s="1">
        <v>8</v>
      </c>
      <c r="J29">
        <v>3</v>
      </c>
      <c r="N29" s="1"/>
      <c r="O29" s="1"/>
      <c r="P29" s="1"/>
      <c r="Q29" s="1" t="s">
        <v>73</v>
      </c>
      <c r="R29" s="1" t="s">
        <v>73</v>
      </c>
      <c r="S29" s="1" t="s">
        <v>73</v>
      </c>
      <c r="T29" s="1"/>
      <c r="U29" s="1"/>
      <c r="V29" s="1"/>
      <c r="W29" s="1"/>
      <c r="X29" s="1"/>
      <c r="Y29" s="1"/>
      <c r="Z29" s="1" t="s">
        <v>73</v>
      </c>
      <c r="AA29" s="1" t="s">
        <v>73</v>
      </c>
      <c r="AC29" s="1"/>
      <c r="AE29" s="1"/>
      <c r="AF29" s="1"/>
      <c r="AK29" s="1" t="s">
        <v>73</v>
      </c>
      <c r="AL29" s="1" t="s">
        <v>73</v>
      </c>
      <c r="AN29" s="1" t="s">
        <v>73</v>
      </c>
      <c r="AP29" s="1" t="s">
        <v>73</v>
      </c>
      <c r="AR29" s="1" t="s">
        <v>73</v>
      </c>
      <c r="AT29" t="s">
        <v>72</v>
      </c>
      <c r="AU29">
        <v>1</v>
      </c>
      <c r="AV29">
        <v>1</v>
      </c>
      <c r="AW29" s="1">
        <v>35</v>
      </c>
      <c r="AX29" s="1">
        <v>4</v>
      </c>
      <c r="AY29" s="1" t="s">
        <v>73</v>
      </c>
      <c r="AZ29" s="1" t="s">
        <v>73</v>
      </c>
      <c r="BA29" s="126" t="s">
        <v>73</v>
      </c>
      <c r="BB29" s="1">
        <v>1889</v>
      </c>
      <c r="BC29" s="100">
        <v>45647.568692129629</v>
      </c>
      <c r="BD29" s="85">
        <v>45657.428495370368</v>
      </c>
      <c r="BE29" s="1" t="s">
        <v>73</v>
      </c>
      <c r="BF29" s="1" t="s">
        <v>73</v>
      </c>
      <c r="BG29" s="1" t="s">
        <v>73</v>
      </c>
      <c r="BH29" s="1" t="s">
        <v>73</v>
      </c>
      <c r="BI29" s="1" t="s">
        <v>73</v>
      </c>
      <c r="BJ29" s="1" t="s">
        <v>73</v>
      </c>
      <c r="BK29" s="1"/>
      <c r="BL29" s="1" t="s">
        <v>73</v>
      </c>
      <c r="BM29" s="1" t="s">
        <v>73</v>
      </c>
      <c r="BN29" s="1" t="s">
        <v>73</v>
      </c>
      <c r="BO29" s="1" t="s">
        <v>73</v>
      </c>
      <c r="BP29" s="1" t="s">
        <v>73</v>
      </c>
      <c r="BQ29" s="1" t="s">
        <v>73</v>
      </c>
      <c r="BR29" s="1"/>
      <c r="BS29" s="1" t="s">
        <v>73</v>
      </c>
      <c r="BT29" s="1" t="s">
        <v>369</v>
      </c>
      <c r="BU29" s="1" t="s">
        <v>369</v>
      </c>
      <c r="BV29" s="1" t="s">
        <v>369</v>
      </c>
      <c r="BW29" s="1"/>
      <c r="BX29" s="1"/>
      <c r="BY29" s="1"/>
      <c r="BZ29" s="1"/>
      <c r="CA29" s="1"/>
      <c r="CB29" s="1"/>
      <c r="CC29" s="1"/>
      <c r="CD29" s="1"/>
      <c r="CE29" s="1"/>
      <c r="CF29" s="1"/>
      <c r="CG29" s="1"/>
      <c r="DC29" s="5"/>
      <c r="DD29" s="5"/>
      <c r="DI29" s="61"/>
      <c r="DL29"/>
      <c r="DM29"/>
      <c r="DN29"/>
      <c r="DO29"/>
      <c r="DP29"/>
      <c r="DQ29"/>
      <c r="DR29"/>
      <c r="DS29"/>
      <c r="DT29"/>
      <c r="DU29"/>
      <c r="DV29"/>
      <c r="DW29"/>
      <c r="EC29" s="1"/>
      <c r="ED29" s="1"/>
      <c r="EE29" s="1"/>
      <c r="EF29" s="1"/>
      <c r="EG29" s="1"/>
      <c r="EH29" s="1"/>
      <c r="EI29" s="1"/>
      <c r="EJ29" s="1"/>
      <c r="EO29"/>
      <c r="EP29"/>
      <c r="EQ29"/>
      <c r="ER29"/>
      <c r="ES29"/>
      <c r="ET29"/>
      <c r="EU29"/>
      <c r="EV29"/>
    </row>
    <row r="30" spans="1:152" ht="16" x14ac:dyDescent="0.2">
      <c r="A30" t="s">
        <v>138</v>
      </c>
      <c r="B30" t="s">
        <v>249</v>
      </c>
      <c r="C30" t="s">
        <v>250</v>
      </c>
      <c r="D30" s="1" t="s">
        <v>73</v>
      </c>
      <c r="E30" s="1" t="s">
        <v>72</v>
      </c>
      <c r="F30" s="1" t="s">
        <v>72</v>
      </c>
      <c r="G30" s="1" t="s">
        <v>73</v>
      </c>
      <c r="H30" s="1"/>
      <c r="I30" s="1">
        <v>7</v>
      </c>
      <c r="J30">
        <v>3</v>
      </c>
      <c r="N30" s="1"/>
      <c r="O30" s="1"/>
      <c r="P30" s="1"/>
      <c r="Q30" s="1" t="s">
        <v>73</v>
      </c>
      <c r="R30" s="1" t="s">
        <v>73</v>
      </c>
      <c r="S30" s="1" t="s">
        <v>73</v>
      </c>
      <c r="T30" s="1"/>
      <c r="U30" s="1">
        <v>1</v>
      </c>
      <c r="V30" s="1"/>
      <c r="W30" s="1"/>
      <c r="X30" s="1">
        <v>1</v>
      </c>
      <c r="Y30" s="1"/>
      <c r="Z30" s="1" t="s">
        <v>72</v>
      </c>
      <c r="AA30" s="1" t="s">
        <v>73</v>
      </c>
      <c r="AC30" s="1"/>
      <c r="AE30" s="1"/>
      <c r="AF30" s="1"/>
      <c r="AK30" s="1" t="s">
        <v>73</v>
      </c>
      <c r="AL30" s="1" t="s">
        <v>72</v>
      </c>
      <c r="AM30" s="1">
        <v>6</v>
      </c>
      <c r="AN30" s="1" t="s">
        <v>73</v>
      </c>
      <c r="AP30" s="1" t="s">
        <v>73</v>
      </c>
      <c r="AR30" s="1" t="s">
        <v>72</v>
      </c>
      <c r="AS30" s="1">
        <v>5</v>
      </c>
      <c r="AT30" t="s">
        <v>72</v>
      </c>
      <c r="AU30">
        <v>2</v>
      </c>
      <c r="AV30">
        <v>2</v>
      </c>
      <c r="AW30" s="1">
        <v>25</v>
      </c>
      <c r="AX30" s="1">
        <v>4</v>
      </c>
      <c r="AY30" s="1" t="s">
        <v>73</v>
      </c>
      <c r="AZ30" s="1" t="s">
        <v>73</v>
      </c>
      <c r="BA30" s="126" t="s">
        <v>73</v>
      </c>
      <c r="BB30" s="1">
        <v>1888</v>
      </c>
      <c r="BC30" s="100">
        <v>45647.561111111114</v>
      </c>
      <c r="BD30" s="85">
        <v>45656.451249999998</v>
      </c>
      <c r="BE30" s="1" t="s">
        <v>250</v>
      </c>
      <c r="BF30" s="1" t="s">
        <v>251</v>
      </c>
      <c r="BG30" s="1" t="s">
        <v>76</v>
      </c>
      <c r="BH30" s="1" t="s">
        <v>252</v>
      </c>
      <c r="BI30" s="1" t="s">
        <v>253</v>
      </c>
      <c r="BJ30" s="1" t="s">
        <v>253</v>
      </c>
      <c r="BK30" s="1">
        <v>8</v>
      </c>
      <c r="BL30" s="1" t="s">
        <v>73</v>
      </c>
      <c r="BM30" s="1" t="s">
        <v>73</v>
      </c>
      <c r="BN30" s="1" t="s">
        <v>73</v>
      </c>
      <c r="BO30" s="1" t="s">
        <v>73</v>
      </c>
      <c r="BP30" s="1" t="s">
        <v>73</v>
      </c>
      <c r="BQ30" s="1" t="s">
        <v>73</v>
      </c>
      <c r="BR30" s="1"/>
      <c r="BS30" s="1" t="s">
        <v>73</v>
      </c>
      <c r="BT30" s="1" t="s">
        <v>369</v>
      </c>
      <c r="BU30" s="1" t="s">
        <v>369</v>
      </c>
      <c r="BV30" s="1" t="s">
        <v>369</v>
      </c>
      <c r="BW30" s="1"/>
      <c r="BX30" s="1"/>
      <c r="BY30" s="1"/>
      <c r="BZ30" s="1"/>
      <c r="CA30" s="1"/>
      <c r="CB30" s="1"/>
      <c r="CC30" s="1"/>
      <c r="CD30" s="1"/>
      <c r="CE30" s="1"/>
      <c r="CF30" s="1"/>
      <c r="CG30" s="1"/>
      <c r="DC30" s="5"/>
      <c r="DD30" s="5"/>
      <c r="DI30" s="61"/>
      <c r="DL30"/>
      <c r="DM30"/>
      <c r="DN30"/>
      <c r="DO30"/>
      <c r="DP30"/>
      <c r="DQ30"/>
      <c r="DR30"/>
      <c r="DS30"/>
      <c r="DT30"/>
      <c r="DU30"/>
      <c r="DV30"/>
      <c r="DW30"/>
      <c r="EC30" s="1"/>
      <c r="ED30" s="1"/>
      <c r="EE30" s="1"/>
      <c r="EF30" s="1"/>
      <c r="EG30" s="1"/>
      <c r="EH30" s="1"/>
      <c r="EI30" s="1"/>
      <c r="EJ30" s="1"/>
      <c r="EO30"/>
      <c r="EP30"/>
      <c r="EQ30"/>
      <c r="ER30"/>
      <c r="ES30"/>
      <c r="ET30"/>
      <c r="EU30"/>
      <c r="EV30"/>
    </row>
    <row r="31" spans="1:152" ht="16" x14ac:dyDescent="0.2">
      <c r="A31" t="s">
        <v>138</v>
      </c>
      <c r="B31" t="s">
        <v>241</v>
      </c>
      <c r="C31" t="s">
        <v>242</v>
      </c>
      <c r="D31" s="1" t="s">
        <v>73</v>
      </c>
      <c r="E31" s="1" t="s">
        <v>72</v>
      </c>
      <c r="F31" s="1" t="s">
        <v>72</v>
      </c>
      <c r="G31" s="1" t="s">
        <v>73</v>
      </c>
      <c r="H31" s="1" t="s">
        <v>72</v>
      </c>
      <c r="I31" s="1">
        <v>6</v>
      </c>
      <c r="J31">
        <v>3</v>
      </c>
      <c r="N31" s="1"/>
      <c r="O31" s="1"/>
      <c r="P31" s="1"/>
      <c r="Q31" s="1" t="s">
        <v>73</v>
      </c>
      <c r="R31" s="1" t="s">
        <v>73</v>
      </c>
      <c r="S31" s="1" t="s">
        <v>73</v>
      </c>
      <c r="T31" s="1">
        <v>1</v>
      </c>
      <c r="U31" s="1"/>
      <c r="V31" s="1"/>
      <c r="W31" s="1">
        <v>1</v>
      </c>
      <c r="X31" s="1"/>
      <c r="Y31" s="1"/>
      <c r="Z31" s="1" t="s">
        <v>73</v>
      </c>
      <c r="AA31" s="1" t="s">
        <v>73</v>
      </c>
      <c r="AB31">
        <v>7</v>
      </c>
      <c r="AC31" s="1"/>
      <c r="AE31" s="1"/>
      <c r="AF31" s="1"/>
      <c r="AK31" s="1" t="s">
        <v>73</v>
      </c>
      <c r="AL31" s="1" t="s">
        <v>72</v>
      </c>
      <c r="AM31" s="1">
        <v>6</v>
      </c>
      <c r="AN31" s="1" t="s">
        <v>72</v>
      </c>
      <c r="AO31" s="1">
        <v>6</v>
      </c>
      <c r="AP31" s="1" t="s">
        <v>73</v>
      </c>
      <c r="AR31" s="1" t="s">
        <v>72</v>
      </c>
      <c r="AS31" s="1">
        <v>6</v>
      </c>
      <c r="AT31" t="s">
        <v>72</v>
      </c>
      <c r="AU31">
        <v>4</v>
      </c>
      <c r="AV31">
        <v>5</v>
      </c>
      <c r="AW31" s="1">
        <v>46</v>
      </c>
      <c r="AX31" s="1">
        <v>18</v>
      </c>
      <c r="AY31" s="1" t="s">
        <v>73</v>
      </c>
      <c r="AZ31" s="1" t="s">
        <v>73</v>
      </c>
      <c r="BA31" s="126" t="s">
        <v>73</v>
      </c>
      <c r="BB31" s="1">
        <v>1886</v>
      </c>
      <c r="BC31" s="100">
        <v>45647.555879629632</v>
      </c>
      <c r="BD31" s="85">
        <v>45657.487395833334</v>
      </c>
      <c r="BE31" s="1" t="s">
        <v>73</v>
      </c>
      <c r="BF31" s="1" t="s">
        <v>73</v>
      </c>
      <c r="BG31" s="1" t="s">
        <v>73</v>
      </c>
      <c r="BH31" s="1" t="s">
        <v>73</v>
      </c>
      <c r="BI31" s="1" t="s">
        <v>73</v>
      </c>
      <c r="BJ31" s="1" t="s">
        <v>73</v>
      </c>
      <c r="BK31" s="1"/>
      <c r="BL31" s="1" t="s">
        <v>73</v>
      </c>
      <c r="BM31" s="1" t="s">
        <v>73</v>
      </c>
      <c r="BN31" s="1" t="s">
        <v>73</v>
      </c>
      <c r="BO31" s="1" t="s">
        <v>73</v>
      </c>
      <c r="BP31" s="1" t="s">
        <v>73</v>
      </c>
      <c r="BQ31" s="1" t="s">
        <v>73</v>
      </c>
      <c r="BR31" s="1"/>
      <c r="BS31" s="1" t="s">
        <v>169</v>
      </c>
      <c r="BT31" s="1" t="s">
        <v>391</v>
      </c>
      <c r="BU31" s="1" t="s">
        <v>392</v>
      </c>
      <c r="BV31" s="1" t="s">
        <v>393</v>
      </c>
      <c r="BW31" s="1">
        <v>8</v>
      </c>
      <c r="BX31" s="1"/>
      <c r="BY31" s="1"/>
      <c r="BZ31" s="1"/>
      <c r="CA31" s="1"/>
      <c r="CB31" s="1"/>
      <c r="CC31" s="1"/>
      <c r="CD31" s="1"/>
      <c r="CE31" s="1"/>
      <c r="CF31" s="1"/>
      <c r="CG31" s="1"/>
      <c r="DC31" s="5"/>
      <c r="DD31" s="5"/>
      <c r="DI31" s="61"/>
      <c r="DL31"/>
      <c r="DM31"/>
      <c r="DN31"/>
      <c r="DO31"/>
      <c r="DP31"/>
      <c r="DQ31"/>
      <c r="DR31"/>
      <c r="DS31"/>
      <c r="DT31"/>
      <c r="DU31"/>
      <c r="DV31"/>
      <c r="DW31"/>
      <c r="EC31" s="1"/>
      <c r="ED31" s="1"/>
      <c r="EE31" s="1"/>
      <c r="EF31" s="1"/>
      <c r="EG31" s="1"/>
      <c r="EH31" s="1"/>
      <c r="EI31" s="1"/>
      <c r="EJ31" s="1"/>
      <c r="EO31"/>
      <c r="EP31"/>
      <c r="EQ31"/>
      <c r="ER31"/>
      <c r="ES31"/>
      <c r="ET31"/>
      <c r="EU31"/>
      <c r="EV31"/>
    </row>
    <row r="32" spans="1:152" ht="16" x14ac:dyDescent="0.2">
      <c r="A32" t="s">
        <v>138</v>
      </c>
      <c r="B32" t="s">
        <v>244</v>
      </c>
      <c r="C32" t="s">
        <v>245</v>
      </c>
      <c r="D32" s="1" t="s">
        <v>73</v>
      </c>
      <c r="E32" s="1" t="s">
        <v>72</v>
      </c>
      <c r="F32" s="1" t="s">
        <v>72</v>
      </c>
      <c r="G32" s="1" t="s">
        <v>73</v>
      </c>
      <c r="H32" s="1"/>
      <c r="I32" s="1">
        <v>7</v>
      </c>
      <c r="N32" s="1"/>
      <c r="O32" s="1"/>
      <c r="P32" s="1"/>
      <c r="Q32" s="1" t="s">
        <v>73</v>
      </c>
      <c r="R32" s="1" t="s">
        <v>73</v>
      </c>
      <c r="S32" s="1" t="s">
        <v>73</v>
      </c>
      <c r="T32" s="1">
        <v>2</v>
      </c>
      <c r="U32" s="1"/>
      <c r="V32" s="1"/>
      <c r="W32" s="1">
        <v>2</v>
      </c>
      <c r="X32" s="1"/>
      <c r="Y32" s="1"/>
      <c r="Z32" s="1" t="s">
        <v>72</v>
      </c>
      <c r="AA32" s="1" t="s">
        <v>73</v>
      </c>
      <c r="AC32" s="1">
        <v>2</v>
      </c>
      <c r="AE32" s="1"/>
      <c r="AF32" s="1"/>
      <c r="AG32">
        <v>2</v>
      </c>
      <c r="AK32" s="1" t="s">
        <v>73</v>
      </c>
      <c r="AL32" s="1" t="s">
        <v>72</v>
      </c>
      <c r="AM32" s="1">
        <v>6</v>
      </c>
      <c r="AN32" s="1" t="s">
        <v>72</v>
      </c>
      <c r="AO32" s="1">
        <v>6</v>
      </c>
      <c r="AP32" s="1" t="s">
        <v>73</v>
      </c>
      <c r="AR32" s="1" t="s">
        <v>72</v>
      </c>
      <c r="AS32" s="1">
        <v>6</v>
      </c>
      <c r="AT32" t="s">
        <v>72</v>
      </c>
      <c r="AU32">
        <v>1</v>
      </c>
      <c r="AW32" s="1">
        <v>75</v>
      </c>
      <c r="AX32" s="1">
        <v>5</v>
      </c>
      <c r="AY32" s="1" t="s">
        <v>73</v>
      </c>
      <c r="AZ32" s="1" t="s">
        <v>73</v>
      </c>
      <c r="BA32" s="126" t="s">
        <v>73</v>
      </c>
      <c r="BB32" s="1">
        <v>1881</v>
      </c>
      <c r="BC32" s="100">
        <v>45647.422800925924</v>
      </c>
      <c r="BD32" s="85">
        <v>45647.44159722222</v>
      </c>
      <c r="BE32" s="1" t="s">
        <v>245</v>
      </c>
      <c r="BF32" s="1" t="s">
        <v>78</v>
      </c>
      <c r="BG32" s="1" t="s">
        <v>215</v>
      </c>
      <c r="BH32" s="1" t="s">
        <v>162</v>
      </c>
      <c r="BI32" s="1" t="s">
        <v>246</v>
      </c>
      <c r="BJ32" s="1" t="s">
        <v>246</v>
      </c>
      <c r="BK32" s="1">
        <v>35</v>
      </c>
      <c r="BL32" s="1" t="s">
        <v>73</v>
      </c>
      <c r="BM32" s="1" t="s">
        <v>73</v>
      </c>
      <c r="BN32" s="1" t="s">
        <v>73</v>
      </c>
      <c r="BO32" s="1" t="s">
        <v>73</v>
      </c>
      <c r="BP32" s="1" t="s">
        <v>73</v>
      </c>
      <c r="BQ32" s="1" t="s">
        <v>73</v>
      </c>
      <c r="BR32" s="1"/>
      <c r="BS32" s="1" t="s">
        <v>73</v>
      </c>
      <c r="BT32" s="1" t="s">
        <v>369</v>
      </c>
      <c r="BU32" s="1" t="s">
        <v>369</v>
      </c>
      <c r="BV32" s="1" t="s">
        <v>369</v>
      </c>
      <c r="BW32" s="1"/>
      <c r="BX32" s="1"/>
      <c r="BY32" s="1"/>
      <c r="BZ32" s="1"/>
      <c r="CA32" s="1"/>
      <c r="CB32" s="1"/>
      <c r="CC32" s="1"/>
      <c r="CD32" s="1"/>
      <c r="CE32" s="1"/>
      <c r="CF32" s="1"/>
      <c r="CG32" s="1"/>
      <c r="DC32" s="5"/>
      <c r="DD32" s="5"/>
      <c r="DI32" s="61"/>
      <c r="DL32"/>
      <c r="DM32"/>
      <c r="DN32"/>
      <c r="DO32"/>
      <c r="DP32"/>
      <c r="DQ32"/>
      <c r="DR32"/>
      <c r="DS32"/>
      <c r="DT32"/>
      <c r="DU32"/>
      <c r="DV32"/>
      <c r="DW32"/>
      <c r="EC32" s="1"/>
      <c r="ED32" s="1"/>
      <c r="EE32" s="1"/>
      <c r="EF32" s="1"/>
      <c r="EG32" s="1"/>
      <c r="EH32" s="1"/>
      <c r="EI32" s="1"/>
      <c r="EJ32" s="1"/>
      <c r="EO32"/>
      <c r="EP32"/>
      <c r="EQ32"/>
      <c r="ER32"/>
      <c r="ES32"/>
      <c r="ET32"/>
      <c r="EU32"/>
      <c r="EV32"/>
    </row>
    <row r="33" spans="1:152" ht="16" x14ac:dyDescent="0.2">
      <c r="A33" t="s">
        <v>138</v>
      </c>
      <c r="B33" t="s">
        <v>207</v>
      </c>
      <c r="C33" t="s">
        <v>236</v>
      </c>
      <c r="D33" s="1" t="s">
        <v>73</v>
      </c>
      <c r="E33" s="1" t="s">
        <v>72</v>
      </c>
      <c r="F33" s="1" t="s">
        <v>72</v>
      </c>
      <c r="G33" s="1" t="s">
        <v>73</v>
      </c>
      <c r="H33" s="1"/>
      <c r="I33" s="1">
        <v>7</v>
      </c>
      <c r="N33" s="1"/>
      <c r="O33" s="1"/>
      <c r="P33" s="1"/>
      <c r="Q33" s="1" t="s">
        <v>73</v>
      </c>
      <c r="R33" s="1" t="s">
        <v>73</v>
      </c>
      <c r="S33" s="1" t="s">
        <v>73</v>
      </c>
      <c r="T33" s="1"/>
      <c r="U33" s="1"/>
      <c r="V33" s="1"/>
      <c r="W33" s="1"/>
      <c r="X33" s="1"/>
      <c r="Y33" s="1"/>
      <c r="Z33" s="1" t="s">
        <v>72</v>
      </c>
      <c r="AA33" s="1" t="s">
        <v>73</v>
      </c>
      <c r="AC33" s="1"/>
      <c r="AE33" s="1"/>
      <c r="AF33" s="1"/>
      <c r="AK33" s="1" t="s">
        <v>72</v>
      </c>
      <c r="AL33" s="1" t="s">
        <v>72</v>
      </c>
      <c r="AM33" s="1">
        <v>6</v>
      </c>
      <c r="AN33" s="1" t="s">
        <v>72</v>
      </c>
      <c r="AO33" s="1">
        <v>6</v>
      </c>
      <c r="AP33" s="1" t="s">
        <v>73</v>
      </c>
      <c r="AR33" s="1" t="s">
        <v>72</v>
      </c>
      <c r="AS33" s="1">
        <v>6</v>
      </c>
      <c r="AT33" t="s">
        <v>73</v>
      </c>
      <c r="AW33" s="1">
        <v>57</v>
      </c>
      <c r="AX33" s="1">
        <v>2</v>
      </c>
      <c r="AY33" s="1" t="s">
        <v>73</v>
      </c>
      <c r="AZ33" s="1" t="s">
        <v>73</v>
      </c>
      <c r="BA33" s="126" t="s">
        <v>73</v>
      </c>
      <c r="BB33" s="1">
        <v>1877</v>
      </c>
      <c r="BC33" s="100">
        <v>45646.491331018522</v>
      </c>
      <c r="BD33" s="85">
        <v>45655.502465277779</v>
      </c>
      <c r="BE33" s="1" t="s">
        <v>236</v>
      </c>
      <c r="BF33" s="1" t="s">
        <v>78</v>
      </c>
      <c r="BG33" s="1" t="s">
        <v>215</v>
      </c>
      <c r="BH33" s="1" t="s">
        <v>77</v>
      </c>
      <c r="BI33" s="1" t="s">
        <v>325</v>
      </c>
      <c r="BJ33" s="1" t="s">
        <v>325</v>
      </c>
      <c r="BK33" s="1">
        <v>31</v>
      </c>
      <c r="BL33" s="1" t="s">
        <v>73</v>
      </c>
      <c r="BM33" s="1" t="s">
        <v>73</v>
      </c>
      <c r="BN33" s="1" t="s">
        <v>73</v>
      </c>
      <c r="BO33" s="1" t="s">
        <v>73</v>
      </c>
      <c r="BP33" s="1" t="s">
        <v>73</v>
      </c>
      <c r="BQ33" s="1" t="s">
        <v>73</v>
      </c>
      <c r="BR33" s="1"/>
      <c r="BS33" s="1" t="s">
        <v>73</v>
      </c>
      <c r="BT33" s="1" t="s">
        <v>369</v>
      </c>
      <c r="BU33" s="1" t="s">
        <v>369</v>
      </c>
      <c r="BV33" s="1" t="s">
        <v>369</v>
      </c>
      <c r="BW33" s="1"/>
      <c r="BX33" s="1"/>
      <c r="BY33" s="1"/>
      <c r="BZ33" s="1"/>
      <c r="CA33" s="1"/>
      <c r="CB33" s="1"/>
      <c r="CC33" s="1"/>
      <c r="CD33" s="1"/>
      <c r="CE33" s="1"/>
      <c r="CF33" s="1"/>
      <c r="CG33" s="1"/>
      <c r="DC33" s="5"/>
      <c r="DD33" s="5"/>
      <c r="DI33" s="61"/>
      <c r="DL33"/>
      <c r="DM33"/>
      <c r="DN33"/>
      <c r="DO33"/>
      <c r="DP33"/>
      <c r="DQ33"/>
      <c r="DR33"/>
      <c r="DS33"/>
      <c r="DT33"/>
      <c r="DU33"/>
      <c r="DV33"/>
      <c r="DW33"/>
      <c r="EC33" s="1"/>
      <c r="ED33" s="1"/>
      <c r="EE33" s="1"/>
      <c r="EF33" s="1"/>
      <c r="EG33" s="1"/>
      <c r="EH33" s="1"/>
      <c r="EI33" s="1"/>
      <c r="EJ33" s="1"/>
      <c r="EO33"/>
      <c r="EP33"/>
      <c r="EQ33"/>
      <c r="ER33"/>
      <c r="ES33"/>
      <c r="ET33"/>
      <c r="EU33"/>
      <c r="EV33"/>
    </row>
    <row r="34" spans="1:152" ht="16" x14ac:dyDescent="0.2">
      <c r="A34" t="s">
        <v>138</v>
      </c>
      <c r="B34" t="s">
        <v>231</v>
      </c>
      <c r="C34" t="s">
        <v>232</v>
      </c>
      <c r="D34" s="1" t="s">
        <v>73</v>
      </c>
      <c r="E34" s="1" t="s">
        <v>72</v>
      </c>
      <c r="F34" s="1" t="s">
        <v>72</v>
      </c>
      <c r="G34" s="1" t="s">
        <v>73</v>
      </c>
      <c r="H34" s="1"/>
      <c r="I34" s="1">
        <v>10</v>
      </c>
      <c r="N34" s="1"/>
      <c r="O34" s="1"/>
      <c r="P34" s="1"/>
      <c r="Q34" s="1" t="s">
        <v>73</v>
      </c>
      <c r="R34" s="1" t="s">
        <v>73</v>
      </c>
      <c r="S34" s="1" t="s">
        <v>73</v>
      </c>
      <c r="T34" s="1"/>
      <c r="U34" s="1"/>
      <c r="V34" s="1"/>
      <c r="W34" s="1"/>
      <c r="X34" s="1"/>
      <c r="Y34" s="1"/>
      <c r="Z34" s="1" t="s">
        <v>73</v>
      </c>
      <c r="AA34" s="1" t="s">
        <v>73</v>
      </c>
      <c r="AC34" s="1">
        <v>5</v>
      </c>
      <c r="AE34" s="1"/>
      <c r="AF34" s="1"/>
      <c r="AG34">
        <v>5</v>
      </c>
      <c r="AK34" s="1" t="s">
        <v>72</v>
      </c>
      <c r="AL34" s="1" t="s">
        <v>72</v>
      </c>
      <c r="AM34" s="1">
        <v>3</v>
      </c>
      <c r="AN34" s="1" t="s">
        <v>72</v>
      </c>
      <c r="AO34" s="1">
        <v>3</v>
      </c>
      <c r="AP34" s="1" t="s">
        <v>73</v>
      </c>
      <c r="AR34" s="1" t="s">
        <v>73</v>
      </c>
      <c r="AT34" t="s">
        <v>73</v>
      </c>
      <c r="AW34" s="1">
        <v>70</v>
      </c>
      <c r="AX34" s="1">
        <v>5</v>
      </c>
      <c r="AY34" s="1" t="s">
        <v>72</v>
      </c>
      <c r="AZ34" s="1" t="s">
        <v>73</v>
      </c>
      <c r="BA34" s="126" t="s">
        <v>73</v>
      </c>
      <c r="BB34" s="1">
        <v>1874</v>
      </c>
      <c r="BC34" s="100">
        <v>45645.469895833332</v>
      </c>
      <c r="BD34" s="85">
        <v>45645.428229166668</v>
      </c>
      <c r="BE34" s="1" t="s">
        <v>73</v>
      </c>
      <c r="BF34" s="1" t="s">
        <v>73</v>
      </c>
      <c r="BG34" s="1" t="s">
        <v>73</v>
      </c>
      <c r="BH34" s="1" t="s">
        <v>73</v>
      </c>
      <c r="BI34" s="1" t="s">
        <v>73</v>
      </c>
      <c r="BJ34" s="1" t="s">
        <v>73</v>
      </c>
      <c r="BK34" s="1"/>
      <c r="BL34" s="1" t="s">
        <v>73</v>
      </c>
      <c r="BM34" s="1" t="s">
        <v>73</v>
      </c>
      <c r="BN34" s="1" t="s">
        <v>73</v>
      </c>
      <c r="BO34" s="1" t="s">
        <v>73</v>
      </c>
      <c r="BP34" s="1" t="s">
        <v>73</v>
      </c>
      <c r="BQ34" s="1" t="s">
        <v>73</v>
      </c>
      <c r="BR34" s="1"/>
      <c r="BS34" s="1" t="s">
        <v>73</v>
      </c>
      <c r="BT34" s="1" t="s">
        <v>369</v>
      </c>
      <c r="BU34" s="1" t="s">
        <v>369</v>
      </c>
      <c r="BV34" s="1" t="s">
        <v>369</v>
      </c>
      <c r="BW34" s="1"/>
      <c r="BX34" s="1"/>
      <c r="BY34" s="1"/>
      <c r="BZ34" s="1"/>
      <c r="CA34" s="1"/>
      <c r="CB34" s="1"/>
      <c r="CC34" s="1"/>
      <c r="CD34" s="1"/>
      <c r="CE34" s="1"/>
      <c r="CF34" s="1"/>
      <c r="CG34" s="1"/>
      <c r="DC34" s="5"/>
      <c r="DD34" s="5"/>
      <c r="DI34" s="61"/>
      <c r="DL34"/>
      <c r="DM34"/>
      <c r="DN34"/>
      <c r="DO34"/>
      <c r="DP34"/>
      <c r="DQ34"/>
      <c r="DR34"/>
      <c r="DS34"/>
      <c r="DT34"/>
      <c r="DU34"/>
      <c r="DV34"/>
      <c r="DW34"/>
      <c r="EC34" s="1"/>
      <c r="ED34" s="1"/>
      <c r="EE34" s="1"/>
      <c r="EF34" s="1"/>
      <c r="EG34" s="1"/>
      <c r="EH34" s="1"/>
      <c r="EI34" s="1"/>
      <c r="EJ34" s="1"/>
      <c r="EO34"/>
      <c r="EP34"/>
      <c r="EQ34"/>
      <c r="ER34"/>
      <c r="ES34"/>
      <c r="ET34"/>
      <c r="EU34"/>
      <c r="EV34"/>
    </row>
    <row r="35" spans="1:152" ht="16" x14ac:dyDescent="0.2">
      <c r="A35" t="s">
        <v>138</v>
      </c>
      <c r="B35" t="s">
        <v>237</v>
      </c>
      <c r="C35" t="s">
        <v>238</v>
      </c>
      <c r="D35" s="1" t="s">
        <v>73</v>
      </c>
      <c r="E35" s="1" t="s">
        <v>72</v>
      </c>
      <c r="F35" s="1" t="s">
        <v>72</v>
      </c>
      <c r="G35" s="1" t="s">
        <v>73</v>
      </c>
      <c r="H35" s="1"/>
      <c r="I35" s="1">
        <v>4</v>
      </c>
      <c r="N35" s="1"/>
      <c r="O35" s="1"/>
      <c r="P35" s="1"/>
      <c r="Q35" s="1" t="s">
        <v>73</v>
      </c>
      <c r="R35" s="1" t="s">
        <v>73</v>
      </c>
      <c r="S35" s="1" t="s">
        <v>73</v>
      </c>
      <c r="T35" s="1"/>
      <c r="U35" s="1"/>
      <c r="V35" s="1"/>
      <c r="W35" s="1"/>
      <c r="X35" s="1"/>
      <c r="Y35" s="1"/>
      <c r="Z35" s="1" t="s">
        <v>73</v>
      </c>
      <c r="AA35" s="1" t="s">
        <v>73</v>
      </c>
      <c r="AC35" s="1"/>
      <c r="AE35" s="1">
        <v>1</v>
      </c>
      <c r="AF35" s="1"/>
      <c r="AI35">
        <v>1</v>
      </c>
      <c r="AK35" s="1" t="s">
        <v>73</v>
      </c>
      <c r="AL35" s="1" t="s">
        <v>72</v>
      </c>
      <c r="AM35" s="1">
        <v>6</v>
      </c>
      <c r="AN35" s="1" t="s">
        <v>72</v>
      </c>
      <c r="AO35" s="1">
        <v>6</v>
      </c>
      <c r="AP35" s="1" t="s">
        <v>73</v>
      </c>
      <c r="AR35" s="1" t="s">
        <v>72</v>
      </c>
      <c r="AS35" s="1">
        <v>6</v>
      </c>
      <c r="AT35" t="s">
        <v>73</v>
      </c>
      <c r="AW35" s="1">
        <v>6</v>
      </c>
      <c r="AX35" s="1">
        <v>0</v>
      </c>
      <c r="AY35" s="1" t="s">
        <v>73</v>
      </c>
      <c r="AZ35" s="1" t="s">
        <v>73</v>
      </c>
      <c r="BA35" s="126" t="s">
        <v>73</v>
      </c>
      <c r="BB35" s="1">
        <v>1870</v>
      </c>
      <c r="BC35" s="100">
        <v>45645.403946759259</v>
      </c>
      <c r="BD35" s="85">
        <v>45645.362280092595</v>
      </c>
      <c r="BE35" s="1" t="s">
        <v>73</v>
      </c>
      <c r="BF35" s="1" t="s">
        <v>73</v>
      </c>
      <c r="BG35" s="1" t="s">
        <v>73</v>
      </c>
      <c r="BH35" s="1" t="s">
        <v>73</v>
      </c>
      <c r="BI35" s="1" t="s">
        <v>73</v>
      </c>
      <c r="BJ35" s="1" t="s">
        <v>73</v>
      </c>
      <c r="BK35" s="1"/>
      <c r="BL35" s="1" t="s">
        <v>73</v>
      </c>
      <c r="BM35" s="1" t="s">
        <v>73</v>
      </c>
      <c r="BN35" s="1" t="s">
        <v>73</v>
      </c>
      <c r="BO35" s="1" t="s">
        <v>73</v>
      </c>
      <c r="BP35" s="1" t="s">
        <v>73</v>
      </c>
      <c r="BQ35" s="1" t="s">
        <v>73</v>
      </c>
      <c r="BR35" s="1"/>
      <c r="BS35" s="1" t="s">
        <v>73</v>
      </c>
      <c r="BT35" s="1" t="s">
        <v>369</v>
      </c>
      <c r="BU35" s="1" t="s">
        <v>369</v>
      </c>
      <c r="BV35" s="1" t="s">
        <v>369</v>
      </c>
      <c r="BW35" s="1"/>
      <c r="BX35" s="1"/>
      <c r="BY35" s="1"/>
      <c r="BZ35" s="1"/>
      <c r="CA35" s="1"/>
      <c r="CB35" s="1"/>
      <c r="CC35" s="1"/>
      <c r="CD35" s="1"/>
      <c r="CE35" s="1"/>
      <c r="CF35" s="1"/>
      <c r="CG35" s="1"/>
      <c r="DC35" s="5"/>
      <c r="DD35" s="5"/>
      <c r="DI35" s="61"/>
      <c r="DL35"/>
      <c r="DM35"/>
      <c r="DN35"/>
      <c r="DO35"/>
      <c r="DP35"/>
      <c r="DQ35"/>
      <c r="DR35"/>
      <c r="DS35"/>
      <c r="DT35"/>
      <c r="DU35"/>
      <c r="DV35"/>
      <c r="DW35"/>
      <c r="EC35" s="1"/>
      <c r="ED35" s="1"/>
      <c r="EE35" s="1"/>
      <c r="EF35" s="1"/>
      <c r="EG35" s="1"/>
      <c r="EH35" s="1"/>
      <c r="EI35" s="1"/>
      <c r="EJ35" s="1"/>
      <c r="EO35"/>
      <c r="EP35"/>
      <c r="EQ35"/>
      <c r="ER35"/>
      <c r="ES35"/>
      <c r="ET35"/>
      <c r="EU35"/>
      <c r="EV35"/>
    </row>
    <row r="36" spans="1:152" ht="16" x14ac:dyDescent="0.2">
      <c r="A36" t="s">
        <v>138</v>
      </c>
      <c r="B36" t="s">
        <v>212</v>
      </c>
      <c r="C36" t="s">
        <v>213</v>
      </c>
      <c r="D36" s="1" t="s">
        <v>73</v>
      </c>
      <c r="E36" s="1" t="s">
        <v>72</v>
      </c>
      <c r="F36" s="1" t="s">
        <v>72</v>
      </c>
      <c r="G36" s="1" t="s">
        <v>73</v>
      </c>
      <c r="H36" s="1"/>
      <c r="I36" s="1">
        <v>6</v>
      </c>
      <c r="N36" s="1"/>
      <c r="O36" s="1"/>
      <c r="P36" s="1"/>
      <c r="Q36" s="1" t="s">
        <v>73</v>
      </c>
      <c r="R36" s="1" t="s">
        <v>73</v>
      </c>
      <c r="S36" s="1" t="s">
        <v>73</v>
      </c>
      <c r="T36" s="1"/>
      <c r="U36" s="1"/>
      <c r="V36" s="1"/>
      <c r="W36" s="1"/>
      <c r="X36" s="1"/>
      <c r="Y36" s="1"/>
      <c r="Z36" s="1" t="s">
        <v>72</v>
      </c>
      <c r="AA36" s="1" t="s">
        <v>73</v>
      </c>
      <c r="AC36" s="1"/>
      <c r="AE36" s="1"/>
      <c r="AF36" s="1"/>
      <c r="AK36" s="1" t="s">
        <v>73</v>
      </c>
      <c r="AL36" s="1" t="s">
        <v>72</v>
      </c>
      <c r="AM36" s="1">
        <v>6</v>
      </c>
      <c r="AN36" s="1" t="s">
        <v>72</v>
      </c>
      <c r="AO36" s="1">
        <v>6</v>
      </c>
      <c r="AP36" s="1" t="s">
        <v>73</v>
      </c>
      <c r="AR36" s="1" t="s">
        <v>72</v>
      </c>
      <c r="AS36" s="1">
        <v>6</v>
      </c>
      <c r="AT36" t="s">
        <v>73</v>
      </c>
      <c r="AW36" s="1">
        <v>40</v>
      </c>
      <c r="AX36" s="1">
        <v>2</v>
      </c>
      <c r="AY36" s="1" t="s">
        <v>72</v>
      </c>
      <c r="AZ36" s="1" t="s">
        <v>73</v>
      </c>
      <c r="BA36" s="126" t="s">
        <v>73</v>
      </c>
      <c r="BB36" s="1">
        <v>1858</v>
      </c>
      <c r="BC36" s="100">
        <v>45643.915798611109</v>
      </c>
      <c r="BD36" s="85">
        <v>45643.874131944445</v>
      </c>
      <c r="BE36" s="1" t="s">
        <v>213</v>
      </c>
      <c r="BF36" s="1" t="s">
        <v>78</v>
      </c>
      <c r="BG36" s="1" t="s">
        <v>215</v>
      </c>
      <c r="BH36" s="1" t="s">
        <v>216</v>
      </c>
      <c r="BI36" s="1" t="s">
        <v>217</v>
      </c>
      <c r="BJ36" s="1" t="s">
        <v>218</v>
      </c>
      <c r="BK36" s="1">
        <v>10</v>
      </c>
      <c r="BL36" s="1" t="s">
        <v>73</v>
      </c>
      <c r="BM36" s="1" t="s">
        <v>73</v>
      </c>
      <c r="BN36" s="1" t="s">
        <v>73</v>
      </c>
      <c r="BO36" s="1" t="s">
        <v>73</v>
      </c>
      <c r="BP36" s="1" t="s">
        <v>73</v>
      </c>
      <c r="BQ36" s="1" t="s">
        <v>73</v>
      </c>
      <c r="BR36" s="1"/>
      <c r="BS36" s="1" t="s">
        <v>73</v>
      </c>
      <c r="BT36" s="1" t="s">
        <v>369</v>
      </c>
      <c r="BU36" s="1" t="s">
        <v>369</v>
      </c>
      <c r="BV36" s="1" t="s">
        <v>369</v>
      </c>
      <c r="BW36" s="1"/>
      <c r="BX36" s="1"/>
      <c r="BY36" s="1"/>
      <c r="BZ36" s="1"/>
      <c r="CA36" s="1"/>
      <c r="CB36" s="1"/>
      <c r="CC36" s="1"/>
      <c r="CD36" s="1"/>
      <c r="CE36" s="1"/>
      <c r="CF36" s="1"/>
      <c r="CG36" s="1"/>
      <c r="DC36" s="5"/>
      <c r="DD36" s="5"/>
      <c r="DI36" s="61"/>
      <c r="DL36"/>
      <c r="DM36"/>
      <c r="DN36"/>
      <c r="DO36"/>
      <c r="DP36"/>
      <c r="DQ36"/>
      <c r="DR36"/>
      <c r="DS36"/>
      <c r="DT36"/>
      <c r="DU36"/>
      <c r="DV36"/>
      <c r="DW36"/>
      <c r="EC36" s="1"/>
      <c r="ED36" s="1"/>
      <c r="EE36" s="1"/>
      <c r="EF36" s="1"/>
      <c r="EG36" s="1"/>
      <c r="EH36" s="1"/>
      <c r="EI36" s="1"/>
      <c r="EJ36" s="1"/>
      <c r="EO36"/>
      <c r="EP36"/>
      <c r="EQ36"/>
      <c r="ER36"/>
      <c r="ES36"/>
      <c r="ET36"/>
      <c r="EU36"/>
      <c r="EV36"/>
    </row>
    <row r="37" spans="1:152" ht="16" x14ac:dyDescent="0.2">
      <c r="A37" t="s">
        <v>138</v>
      </c>
      <c r="B37" t="s">
        <v>186</v>
      </c>
      <c r="C37" t="s">
        <v>187</v>
      </c>
      <c r="D37" s="1" t="s">
        <v>73</v>
      </c>
      <c r="E37" s="1" t="s">
        <v>72</v>
      </c>
      <c r="F37" s="1" t="s">
        <v>73</v>
      </c>
      <c r="G37" s="1" t="s">
        <v>72</v>
      </c>
      <c r="H37" s="1" t="s">
        <v>74</v>
      </c>
      <c r="I37" s="1">
        <v>6</v>
      </c>
      <c r="N37" s="1"/>
      <c r="O37" s="1"/>
      <c r="P37" s="1"/>
      <c r="Q37" s="1" t="s">
        <v>73</v>
      </c>
      <c r="R37" s="1" t="s">
        <v>73</v>
      </c>
      <c r="S37" s="1" t="s">
        <v>73</v>
      </c>
      <c r="T37" s="1">
        <v>1</v>
      </c>
      <c r="U37" s="1"/>
      <c r="V37" s="1"/>
      <c r="W37" s="1">
        <v>1</v>
      </c>
      <c r="X37" s="1"/>
      <c r="Y37" s="1"/>
      <c r="Z37" s="1" t="s">
        <v>73</v>
      </c>
      <c r="AA37" s="1" t="s">
        <v>73</v>
      </c>
      <c r="AB37">
        <v>4</v>
      </c>
      <c r="AC37" s="1">
        <v>5</v>
      </c>
      <c r="AE37" s="1"/>
      <c r="AF37" s="1"/>
      <c r="AG37">
        <v>5</v>
      </c>
      <c r="AK37" s="1" t="s">
        <v>73</v>
      </c>
      <c r="AL37" s="1" t="s">
        <v>73</v>
      </c>
      <c r="AN37" s="1" t="s">
        <v>73</v>
      </c>
      <c r="AP37" s="1" t="s">
        <v>73</v>
      </c>
      <c r="AR37" s="1" t="s">
        <v>73</v>
      </c>
      <c r="AT37" t="s">
        <v>73</v>
      </c>
      <c r="AW37" s="1">
        <v>90</v>
      </c>
      <c r="AX37" s="1">
        <v>20</v>
      </c>
      <c r="AY37" s="1" t="s">
        <v>72</v>
      </c>
      <c r="AZ37" s="1" t="s">
        <v>73</v>
      </c>
      <c r="BA37" s="126" t="s">
        <v>73</v>
      </c>
      <c r="BB37" s="1">
        <v>1849</v>
      </c>
      <c r="BC37" s="100">
        <v>45642.826678240737</v>
      </c>
      <c r="BD37" s="85">
        <v>45642.785011574073</v>
      </c>
      <c r="BE37" s="1" t="s">
        <v>73</v>
      </c>
      <c r="BF37" s="1" t="s">
        <v>73</v>
      </c>
      <c r="BG37" s="1" t="s">
        <v>73</v>
      </c>
      <c r="BH37" s="1" t="s">
        <v>73</v>
      </c>
      <c r="BI37" s="1" t="s">
        <v>73</v>
      </c>
      <c r="BJ37" s="1" t="s">
        <v>73</v>
      </c>
      <c r="BK37" s="1"/>
      <c r="BL37" s="1" t="s">
        <v>73</v>
      </c>
      <c r="BM37" s="1" t="s">
        <v>73</v>
      </c>
      <c r="BN37" s="1" t="s">
        <v>73</v>
      </c>
      <c r="BO37" s="1" t="s">
        <v>73</v>
      </c>
      <c r="BP37" s="1" t="s">
        <v>73</v>
      </c>
      <c r="BQ37" s="1" t="s">
        <v>73</v>
      </c>
      <c r="BR37" s="1"/>
      <c r="BS37" s="1" t="s">
        <v>75</v>
      </c>
      <c r="BT37" s="1" t="s">
        <v>382</v>
      </c>
      <c r="BU37" s="1" t="s">
        <v>374</v>
      </c>
      <c r="BV37" s="1" t="s">
        <v>383</v>
      </c>
      <c r="BW37" s="1">
        <v>8</v>
      </c>
      <c r="BX37" s="1"/>
      <c r="BY37" s="1"/>
      <c r="BZ37" s="1"/>
      <c r="CA37" s="1"/>
      <c r="CB37" s="1"/>
      <c r="CC37" s="1"/>
      <c r="CD37" s="1"/>
      <c r="CE37" s="1"/>
      <c r="CF37" s="1"/>
      <c r="CG37" s="1"/>
      <c r="DC37" s="5"/>
      <c r="DD37" s="5"/>
      <c r="DI37" s="61"/>
      <c r="DL37"/>
      <c r="DM37"/>
      <c r="DN37"/>
      <c r="DO37"/>
      <c r="DP37"/>
      <c r="DQ37"/>
      <c r="DR37"/>
      <c r="DS37"/>
      <c r="DT37"/>
      <c r="DU37"/>
      <c r="DV37"/>
      <c r="DW37"/>
      <c r="EC37" s="1"/>
      <c r="ED37" s="1"/>
      <c r="EE37" s="1"/>
      <c r="EF37" s="1"/>
      <c r="EG37" s="1"/>
      <c r="EH37" s="1"/>
      <c r="EI37" s="1"/>
      <c r="EJ37" s="1"/>
      <c r="EO37"/>
      <c r="EP37"/>
      <c r="EQ37"/>
      <c r="ER37"/>
      <c r="ES37"/>
      <c r="ET37"/>
      <c r="EU37"/>
      <c r="EV37"/>
    </row>
    <row r="38" spans="1:152" ht="16" x14ac:dyDescent="0.2">
      <c r="A38" t="s">
        <v>138</v>
      </c>
      <c r="B38" t="s">
        <v>210</v>
      </c>
      <c r="C38" t="s">
        <v>211</v>
      </c>
      <c r="D38" s="1" t="s">
        <v>73</v>
      </c>
      <c r="E38" s="1" t="s">
        <v>72</v>
      </c>
      <c r="F38" s="1" t="s">
        <v>72</v>
      </c>
      <c r="G38" s="1" t="s">
        <v>73</v>
      </c>
      <c r="H38" s="1"/>
      <c r="I38" s="1">
        <v>5</v>
      </c>
      <c r="J38">
        <v>3</v>
      </c>
      <c r="N38" s="1">
        <v>4</v>
      </c>
      <c r="O38" s="1"/>
      <c r="P38" s="1"/>
      <c r="Q38" s="1" t="s">
        <v>73</v>
      </c>
      <c r="R38" s="1" t="s">
        <v>73</v>
      </c>
      <c r="S38" s="1" t="s">
        <v>73</v>
      </c>
      <c r="T38" s="1">
        <v>3</v>
      </c>
      <c r="U38" s="1">
        <v>1</v>
      </c>
      <c r="V38" s="1"/>
      <c r="W38" s="1">
        <v>3</v>
      </c>
      <c r="X38" s="1">
        <v>1</v>
      </c>
      <c r="Y38" s="1"/>
      <c r="Z38" s="1" t="s">
        <v>72</v>
      </c>
      <c r="AA38" s="1" t="s">
        <v>73</v>
      </c>
      <c r="AC38" s="1"/>
      <c r="AE38" s="1"/>
      <c r="AF38" s="1"/>
      <c r="AK38" s="1" t="s">
        <v>72</v>
      </c>
      <c r="AL38" s="1" t="s">
        <v>73</v>
      </c>
      <c r="AN38" s="1" t="s">
        <v>73</v>
      </c>
      <c r="AP38" s="1" t="s">
        <v>73</v>
      </c>
      <c r="AR38" s="1" t="s">
        <v>73</v>
      </c>
      <c r="AT38" t="s">
        <v>73</v>
      </c>
      <c r="AW38" s="1">
        <v>32</v>
      </c>
      <c r="AX38" s="1">
        <v>7</v>
      </c>
      <c r="AY38" s="1" t="s">
        <v>73</v>
      </c>
      <c r="AZ38" s="1" t="s">
        <v>73</v>
      </c>
      <c r="BA38" s="126" t="s">
        <v>73</v>
      </c>
      <c r="BB38" s="1">
        <v>1848</v>
      </c>
      <c r="BC38" s="100">
        <v>45642.813136574077</v>
      </c>
      <c r="BD38" s="85">
        <v>45642.771469907406</v>
      </c>
      <c r="BE38" s="1" t="s">
        <v>211</v>
      </c>
      <c r="BF38" s="1" t="s">
        <v>219</v>
      </c>
      <c r="BG38" s="1" t="s">
        <v>215</v>
      </c>
      <c r="BH38" s="1" t="s">
        <v>216</v>
      </c>
      <c r="BI38" s="1" t="s">
        <v>220</v>
      </c>
      <c r="BJ38" s="1" t="s">
        <v>221</v>
      </c>
      <c r="BK38" s="1">
        <v>20</v>
      </c>
      <c r="BL38" s="1" t="s">
        <v>73</v>
      </c>
      <c r="BM38" s="1" t="s">
        <v>73</v>
      </c>
      <c r="BN38" s="1" t="s">
        <v>73</v>
      </c>
      <c r="BO38" s="1" t="s">
        <v>73</v>
      </c>
      <c r="BP38" s="1" t="s">
        <v>73</v>
      </c>
      <c r="BQ38" s="1" t="s">
        <v>73</v>
      </c>
      <c r="BR38" s="1"/>
      <c r="BS38" s="1" t="s">
        <v>73</v>
      </c>
      <c r="BT38" s="1" t="s">
        <v>369</v>
      </c>
      <c r="BU38" s="1" t="s">
        <v>369</v>
      </c>
      <c r="BV38" s="1" t="s">
        <v>369</v>
      </c>
      <c r="BW38" s="1"/>
      <c r="BX38" s="1"/>
      <c r="BY38" s="1"/>
      <c r="BZ38" s="1"/>
      <c r="CA38" s="1"/>
      <c r="CB38" s="1"/>
      <c r="CC38" s="1"/>
      <c r="CD38" s="1"/>
      <c r="CE38" s="1"/>
      <c r="CF38" s="1"/>
      <c r="CG38" s="1"/>
      <c r="DC38" s="5"/>
      <c r="DD38" s="5"/>
      <c r="DI38" s="61"/>
      <c r="DL38"/>
      <c r="DM38"/>
      <c r="DN38"/>
      <c r="DO38"/>
      <c r="DP38"/>
      <c r="DQ38"/>
      <c r="DR38"/>
      <c r="DS38"/>
      <c r="DT38"/>
      <c r="DU38"/>
      <c r="DV38"/>
      <c r="DW38"/>
      <c r="EC38" s="1"/>
      <c r="ED38" s="1"/>
      <c r="EE38" s="1"/>
      <c r="EF38" s="1"/>
      <c r="EG38" s="1"/>
      <c r="EH38" s="1"/>
      <c r="EI38" s="1"/>
      <c r="EJ38" s="1"/>
      <c r="EO38"/>
      <c r="EP38"/>
      <c r="EQ38"/>
      <c r="ER38"/>
      <c r="ES38"/>
      <c r="ET38"/>
      <c r="EU38"/>
      <c r="EV38"/>
    </row>
    <row r="39" spans="1:152" ht="16" x14ac:dyDescent="0.2">
      <c r="A39" t="s">
        <v>138</v>
      </c>
      <c r="B39" t="s">
        <v>203</v>
      </c>
      <c r="C39" t="s">
        <v>204</v>
      </c>
      <c r="D39" s="1" t="s">
        <v>73</v>
      </c>
      <c r="E39" s="1" t="s">
        <v>73</v>
      </c>
      <c r="F39" s="1" t="s">
        <v>73</v>
      </c>
      <c r="G39" s="1" t="s">
        <v>73</v>
      </c>
      <c r="H39" s="1"/>
      <c r="I39" s="1"/>
      <c r="N39" s="1"/>
      <c r="O39" s="1"/>
      <c r="P39" s="1"/>
      <c r="Q39" s="1" t="s">
        <v>73</v>
      </c>
      <c r="R39" s="1" t="s">
        <v>73</v>
      </c>
      <c r="S39" s="1" t="s">
        <v>73</v>
      </c>
      <c r="T39" s="1"/>
      <c r="U39" s="1"/>
      <c r="V39" s="1"/>
      <c r="W39" s="1"/>
      <c r="X39" s="1"/>
      <c r="Y39" s="1"/>
      <c r="Z39" s="1" t="s">
        <v>73</v>
      </c>
      <c r="AA39" s="1" t="s">
        <v>73</v>
      </c>
      <c r="AC39" s="1"/>
      <c r="AE39" s="1"/>
      <c r="AF39" s="1"/>
      <c r="AK39" s="1" t="s">
        <v>73</v>
      </c>
      <c r="AL39" s="1" t="s">
        <v>72</v>
      </c>
      <c r="AM39" s="1">
        <v>4</v>
      </c>
      <c r="AN39" s="1" t="s">
        <v>72</v>
      </c>
      <c r="AO39" s="1">
        <v>4</v>
      </c>
      <c r="AP39" s="1" t="s">
        <v>73</v>
      </c>
      <c r="AR39" s="1" t="s">
        <v>72</v>
      </c>
      <c r="AS39" s="1">
        <v>4</v>
      </c>
      <c r="AT39" t="s">
        <v>73</v>
      </c>
      <c r="AW39" s="1">
        <v>30</v>
      </c>
      <c r="AX39" s="1">
        <v>2</v>
      </c>
      <c r="AY39" s="1" t="s">
        <v>72</v>
      </c>
      <c r="AZ39" s="1" t="s">
        <v>73</v>
      </c>
      <c r="BA39" s="126" t="s">
        <v>73</v>
      </c>
      <c r="BB39" s="1">
        <v>1844</v>
      </c>
      <c r="BC39" s="100">
        <v>45642.667673611111</v>
      </c>
      <c r="BD39" s="85">
        <v>45642.626006944447</v>
      </c>
      <c r="BE39" s="1" t="s">
        <v>73</v>
      </c>
      <c r="BF39" s="1" t="s">
        <v>73</v>
      </c>
      <c r="BG39" s="1" t="s">
        <v>73</v>
      </c>
      <c r="BH39" s="1" t="s">
        <v>73</v>
      </c>
      <c r="BI39" s="1" t="s">
        <v>73</v>
      </c>
      <c r="BJ39" s="1" t="s">
        <v>73</v>
      </c>
      <c r="BK39" s="1"/>
      <c r="BL39" s="1" t="s">
        <v>73</v>
      </c>
      <c r="BM39" s="1" t="s">
        <v>73</v>
      </c>
      <c r="BN39" s="1" t="s">
        <v>73</v>
      </c>
      <c r="BO39" s="1" t="s">
        <v>73</v>
      </c>
      <c r="BP39" s="1" t="s">
        <v>73</v>
      </c>
      <c r="BQ39" s="1" t="s">
        <v>73</v>
      </c>
      <c r="BR39" s="1"/>
      <c r="BS39" s="1" t="s">
        <v>73</v>
      </c>
      <c r="BT39" s="1" t="s">
        <v>369</v>
      </c>
      <c r="BU39" s="1" t="s">
        <v>369</v>
      </c>
      <c r="BV39" s="1" t="s">
        <v>369</v>
      </c>
      <c r="BW39" s="1"/>
    </row>
    <row r="40" spans="1:152" ht="16" x14ac:dyDescent="0.2">
      <c r="A40" t="s">
        <v>138</v>
      </c>
      <c r="B40" t="s">
        <v>153</v>
      </c>
      <c r="C40" t="s">
        <v>154</v>
      </c>
      <c r="D40" s="1" t="s">
        <v>73</v>
      </c>
      <c r="E40" s="1" t="s">
        <v>72</v>
      </c>
      <c r="F40" s="1" t="s">
        <v>73</v>
      </c>
      <c r="G40" s="1" t="s">
        <v>73</v>
      </c>
      <c r="H40" s="1"/>
      <c r="I40" s="1"/>
      <c r="N40" s="1"/>
      <c r="O40" s="1"/>
      <c r="P40" s="1"/>
      <c r="Q40" s="1" t="s">
        <v>73</v>
      </c>
      <c r="R40" s="1" t="s">
        <v>73</v>
      </c>
      <c r="S40" s="1" t="s">
        <v>73</v>
      </c>
      <c r="T40" s="1"/>
      <c r="U40" s="1"/>
      <c r="V40" s="1"/>
      <c r="W40" s="1"/>
      <c r="X40" s="1"/>
      <c r="Y40" s="1"/>
      <c r="Z40" s="1" t="s">
        <v>73</v>
      </c>
      <c r="AA40" s="1" t="s">
        <v>73</v>
      </c>
      <c r="AC40" s="1">
        <v>5</v>
      </c>
      <c r="AE40" s="1"/>
      <c r="AF40" s="1"/>
      <c r="AG40">
        <v>4</v>
      </c>
      <c r="AK40" s="1" t="s">
        <v>73</v>
      </c>
      <c r="AL40" s="1" t="s">
        <v>73</v>
      </c>
      <c r="AN40" s="1" t="s">
        <v>73</v>
      </c>
      <c r="AP40" s="1" t="s">
        <v>73</v>
      </c>
      <c r="AR40" s="1" t="s">
        <v>73</v>
      </c>
      <c r="AT40" t="s">
        <v>73</v>
      </c>
      <c r="AW40" s="1">
        <v>35</v>
      </c>
      <c r="AX40" s="1">
        <v>10</v>
      </c>
      <c r="AY40" s="1" t="s">
        <v>72</v>
      </c>
      <c r="AZ40" s="1" t="s">
        <v>73</v>
      </c>
      <c r="BA40" s="126" t="s">
        <v>73</v>
      </c>
      <c r="BB40" s="1">
        <v>1838</v>
      </c>
      <c r="BC40" s="100">
        <v>45641.533518518518</v>
      </c>
      <c r="BD40" s="85">
        <v>45641.491851851853</v>
      </c>
      <c r="BE40" s="1" t="s">
        <v>73</v>
      </c>
      <c r="BF40" s="1" t="s">
        <v>73</v>
      </c>
      <c r="BG40" s="1" t="s">
        <v>73</v>
      </c>
      <c r="BH40" s="1" t="s">
        <v>73</v>
      </c>
      <c r="BI40" s="1" t="s">
        <v>73</v>
      </c>
      <c r="BJ40" s="1" t="s">
        <v>73</v>
      </c>
      <c r="BK40" s="1"/>
      <c r="BL40" s="1" t="s">
        <v>73</v>
      </c>
      <c r="BM40" s="1" t="s">
        <v>73</v>
      </c>
      <c r="BN40" s="1" t="s">
        <v>73</v>
      </c>
      <c r="BO40" s="1" t="s">
        <v>73</v>
      </c>
      <c r="BP40" s="1" t="s">
        <v>73</v>
      </c>
      <c r="BQ40" s="1" t="s">
        <v>73</v>
      </c>
      <c r="BR40" s="1"/>
      <c r="BS40" s="1" t="s">
        <v>73</v>
      </c>
      <c r="BT40" s="1" t="s">
        <v>369</v>
      </c>
      <c r="BU40" s="1" t="s">
        <v>369</v>
      </c>
      <c r="BV40" s="1" t="s">
        <v>369</v>
      </c>
      <c r="BW40" s="1"/>
    </row>
    <row r="41" spans="1:152" ht="16" x14ac:dyDescent="0.2">
      <c r="A41" t="s">
        <v>138</v>
      </c>
      <c r="B41" t="s">
        <v>172</v>
      </c>
      <c r="C41" t="s">
        <v>168</v>
      </c>
      <c r="D41" s="1" t="s">
        <v>73</v>
      </c>
      <c r="E41" s="1" t="s">
        <v>72</v>
      </c>
      <c r="F41" s="1" t="s">
        <v>72</v>
      </c>
      <c r="G41" s="1" t="s">
        <v>73</v>
      </c>
      <c r="H41" s="1" t="s">
        <v>72</v>
      </c>
      <c r="I41" s="1">
        <v>10</v>
      </c>
      <c r="J41">
        <v>3</v>
      </c>
      <c r="L41">
        <v>6</v>
      </c>
      <c r="N41" s="1"/>
      <c r="O41" s="1"/>
      <c r="P41" s="1"/>
      <c r="Q41" s="1" t="s">
        <v>73</v>
      </c>
      <c r="R41" s="1" t="s">
        <v>73</v>
      </c>
      <c r="S41" s="1" t="s">
        <v>73</v>
      </c>
      <c r="T41" s="1"/>
      <c r="U41" s="1"/>
      <c r="V41" s="1"/>
      <c r="W41" s="1"/>
      <c r="X41" s="1"/>
      <c r="Y41" s="1"/>
      <c r="Z41" s="1" t="s">
        <v>73</v>
      </c>
      <c r="AA41" s="1" t="s">
        <v>73</v>
      </c>
      <c r="AB41">
        <v>1</v>
      </c>
      <c r="AC41" s="1">
        <v>11</v>
      </c>
      <c r="AE41" s="1"/>
      <c r="AF41" s="1">
        <v>4</v>
      </c>
      <c r="AG41">
        <v>11</v>
      </c>
      <c r="AJ41">
        <v>4</v>
      </c>
      <c r="AK41" s="1" t="s">
        <v>73</v>
      </c>
      <c r="AL41" s="1" t="s">
        <v>73</v>
      </c>
      <c r="AN41" s="1" t="s">
        <v>73</v>
      </c>
      <c r="AP41" s="1" t="s">
        <v>73</v>
      </c>
      <c r="AR41" s="1" t="s">
        <v>73</v>
      </c>
      <c r="AT41" t="s">
        <v>73</v>
      </c>
      <c r="AW41" s="1">
        <v>105</v>
      </c>
      <c r="AX41" s="1">
        <v>26</v>
      </c>
      <c r="AY41" s="1" t="s">
        <v>73</v>
      </c>
      <c r="AZ41" s="1" t="s">
        <v>73</v>
      </c>
      <c r="BA41" s="126" t="s">
        <v>73</v>
      </c>
      <c r="BB41" s="1">
        <v>1834</v>
      </c>
      <c r="BC41" s="100">
        <v>45639.400671296295</v>
      </c>
      <c r="BD41" s="85">
        <v>45639.35900462963</v>
      </c>
      <c r="BE41" s="1" t="s">
        <v>73</v>
      </c>
      <c r="BF41" s="1" t="s">
        <v>73</v>
      </c>
      <c r="BG41" s="1" t="s">
        <v>73</v>
      </c>
      <c r="BH41" s="1" t="s">
        <v>73</v>
      </c>
      <c r="BI41" s="1" t="s">
        <v>73</v>
      </c>
      <c r="BJ41" s="1" t="s">
        <v>73</v>
      </c>
      <c r="BK41" s="1"/>
      <c r="BL41" s="1" t="s">
        <v>73</v>
      </c>
      <c r="BM41" s="1" t="s">
        <v>73</v>
      </c>
      <c r="BN41" s="1" t="s">
        <v>73</v>
      </c>
      <c r="BO41" s="1" t="s">
        <v>73</v>
      </c>
      <c r="BP41" s="1" t="s">
        <v>73</v>
      </c>
      <c r="BQ41" s="1" t="s">
        <v>73</v>
      </c>
      <c r="BR41" s="1"/>
      <c r="BS41" s="1" t="s">
        <v>169</v>
      </c>
      <c r="BT41" s="1" t="s">
        <v>384</v>
      </c>
      <c r="BU41" s="1" t="s">
        <v>385</v>
      </c>
      <c r="BV41" s="1" t="s">
        <v>386</v>
      </c>
      <c r="BW41" s="1">
        <v>16</v>
      </c>
    </row>
    <row r="42" spans="1:152" ht="48" x14ac:dyDescent="0.2">
      <c r="A42" t="s">
        <v>138</v>
      </c>
      <c r="B42" t="s">
        <v>179</v>
      </c>
      <c r="C42" t="s">
        <v>166</v>
      </c>
      <c r="D42" s="1" t="s">
        <v>73</v>
      </c>
      <c r="E42" s="1" t="s">
        <v>72</v>
      </c>
      <c r="F42" s="1" t="s">
        <v>72</v>
      </c>
      <c r="G42" s="1" t="s">
        <v>73</v>
      </c>
      <c r="H42" s="1"/>
      <c r="I42" s="1"/>
      <c r="L42">
        <v>6</v>
      </c>
      <c r="N42" s="1"/>
      <c r="O42" s="1"/>
      <c r="P42" s="1"/>
      <c r="Q42" s="1" t="s">
        <v>73</v>
      </c>
      <c r="R42" s="1" t="s">
        <v>73</v>
      </c>
      <c r="S42" s="1" t="s">
        <v>73</v>
      </c>
      <c r="T42" s="1"/>
      <c r="U42" s="1">
        <v>1</v>
      </c>
      <c r="V42" s="1">
        <v>5</v>
      </c>
      <c r="W42" s="1"/>
      <c r="X42" s="1">
        <v>1</v>
      </c>
      <c r="Y42" s="1">
        <v>5</v>
      </c>
      <c r="Z42" s="1" t="s">
        <v>72</v>
      </c>
      <c r="AA42" s="1" t="s">
        <v>73</v>
      </c>
      <c r="AC42" s="1"/>
      <c r="AE42" s="1"/>
      <c r="AF42" s="1"/>
      <c r="AK42" s="1" t="s">
        <v>73</v>
      </c>
      <c r="AL42" s="1" t="s">
        <v>73</v>
      </c>
      <c r="AN42" s="1" t="s">
        <v>73</v>
      </c>
      <c r="AP42" s="1" t="s">
        <v>73</v>
      </c>
      <c r="AR42" s="1" t="s">
        <v>73</v>
      </c>
      <c r="AT42" t="s">
        <v>72</v>
      </c>
      <c r="AU42">
        <v>3</v>
      </c>
      <c r="AW42" s="1">
        <v>42</v>
      </c>
      <c r="AX42" s="1">
        <v>42</v>
      </c>
      <c r="AY42" s="1" t="s">
        <v>73</v>
      </c>
      <c r="AZ42" s="1" t="s">
        <v>73</v>
      </c>
      <c r="BA42" s="126" t="s">
        <v>160</v>
      </c>
      <c r="BB42" s="1">
        <v>1830</v>
      </c>
      <c r="BC42" s="100">
        <v>45639.325312499997</v>
      </c>
      <c r="BD42" s="85">
        <v>45639.283645833333</v>
      </c>
      <c r="BE42" s="1" t="s">
        <v>166</v>
      </c>
      <c r="BF42" s="1" t="s">
        <v>78</v>
      </c>
      <c r="BG42" s="1" t="s">
        <v>161</v>
      </c>
      <c r="BH42" s="1" t="s">
        <v>162</v>
      </c>
      <c r="BI42" s="1" t="s">
        <v>171</v>
      </c>
      <c r="BJ42" s="1" t="s">
        <v>171</v>
      </c>
      <c r="BK42" s="1">
        <v>23</v>
      </c>
      <c r="BL42" s="1" t="s">
        <v>73</v>
      </c>
      <c r="BM42" s="1" t="s">
        <v>73</v>
      </c>
      <c r="BN42" s="1" t="s">
        <v>73</v>
      </c>
      <c r="BO42" s="1" t="s">
        <v>73</v>
      </c>
      <c r="BP42" s="1" t="s">
        <v>73</v>
      </c>
      <c r="BQ42" s="1" t="s">
        <v>73</v>
      </c>
      <c r="BR42" s="1"/>
      <c r="BS42" s="1" t="s">
        <v>73</v>
      </c>
      <c r="BT42" s="1" t="s">
        <v>369</v>
      </c>
      <c r="BU42" s="1" t="s">
        <v>369</v>
      </c>
      <c r="BV42" s="1" t="s">
        <v>369</v>
      </c>
      <c r="BW42" s="1"/>
    </row>
    <row r="43" spans="1:152" ht="48" x14ac:dyDescent="0.2">
      <c r="A43" t="s">
        <v>138</v>
      </c>
      <c r="B43" t="s">
        <v>181</v>
      </c>
      <c r="C43" t="s">
        <v>159</v>
      </c>
      <c r="D43" s="1" t="s">
        <v>73</v>
      </c>
      <c r="E43" s="1" t="s">
        <v>72</v>
      </c>
      <c r="F43" s="1" t="s">
        <v>73</v>
      </c>
      <c r="G43" s="1" t="s">
        <v>73</v>
      </c>
      <c r="H43" s="1"/>
      <c r="I43" s="1">
        <v>7</v>
      </c>
      <c r="N43" s="1"/>
      <c r="O43" s="1"/>
      <c r="P43" s="1"/>
      <c r="Q43" s="1" t="s">
        <v>73</v>
      </c>
      <c r="R43" s="1" t="s">
        <v>73</v>
      </c>
      <c r="S43" s="1" t="s">
        <v>73</v>
      </c>
      <c r="T43" s="1">
        <v>1</v>
      </c>
      <c r="U43" s="1"/>
      <c r="V43" s="1"/>
      <c r="W43" s="1">
        <v>1</v>
      </c>
      <c r="X43" s="1"/>
      <c r="Y43" s="1"/>
      <c r="Z43" s="1" t="s">
        <v>72</v>
      </c>
      <c r="AA43" s="1" t="s">
        <v>73</v>
      </c>
      <c r="AC43" s="1"/>
      <c r="AE43" s="1"/>
      <c r="AF43" s="1"/>
      <c r="AK43" s="1" t="s">
        <v>73</v>
      </c>
      <c r="AL43" s="1" t="s">
        <v>72</v>
      </c>
      <c r="AM43" s="1">
        <v>6</v>
      </c>
      <c r="AN43" s="1" t="s">
        <v>72</v>
      </c>
      <c r="AO43" s="1">
        <v>6</v>
      </c>
      <c r="AP43" s="1" t="s">
        <v>73</v>
      </c>
      <c r="AR43" s="1" t="s">
        <v>72</v>
      </c>
      <c r="AS43" s="1">
        <v>6</v>
      </c>
      <c r="AT43" t="s">
        <v>73</v>
      </c>
      <c r="AW43" s="1">
        <v>90</v>
      </c>
      <c r="AX43" s="1">
        <v>0</v>
      </c>
      <c r="AY43" s="1" t="s">
        <v>73</v>
      </c>
      <c r="AZ43" s="1" t="s">
        <v>73</v>
      </c>
      <c r="BA43" s="126" t="s">
        <v>160</v>
      </c>
      <c r="BB43" s="1">
        <v>1826</v>
      </c>
      <c r="BC43" s="100">
        <v>45637.588495370372</v>
      </c>
      <c r="BD43" s="85">
        <v>45637.5468287037</v>
      </c>
      <c r="BE43" s="1" t="s">
        <v>159</v>
      </c>
      <c r="BF43" s="1" t="s">
        <v>78</v>
      </c>
      <c r="BG43" s="1" t="s">
        <v>161</v>
      </c>
      <c r="BH43" s="1" t="s">
        <v>162</v>
      </c>
      <c r="BI43" s="1" t="s">
        <v>163</v>
      </c>
      <c r="BJ43" s="1" t="s">
        <v>163</v>
      </c>
      <c r="BK43" s="1">
        <v>62</v>
      </c>
      <c r="BL43" s="1" t="s">
        <v>73</v>
      </c>
      <c r="BM43" s="1" t="s">
        <v>73</v>
      </c>
      <c r="BN43" s="1" t="s">
        <v>73</v>
      </c>
      <c r="BO43" s="1" t="s">
        <v>73</v>
      </c>
      <c r="BP43" s="1" t="s">
        <v>73</v>
      </c>
      <c r="BQ43" s="1" t="s">
        <v>73</v>
      </c>
      <c r="BR43" s="1"/>
      <c r="BS43" s="1" t="s">
        <v>73</v>
      </c>
      <c r="BT43" s="1" t="s">
        <v>369</v>
      </c>
      <c r="BU43" s="1" t="s">
        <v>369</v>
      </c>
      <c r="BV43" s="1" t="s">
        <v>369</v>
      </c>
      <c r="BW43" s="1"/>
    </row>
    <row r="44" spans="1:152" ht="32" x14ac:dyDescent="0.2">
      <c r="A44" t="s">
        <v>138</v>
      </c>
      <c r="B44" t="s">
        <v>175</v>
      </c>
      <c r="C44" t="s">
        <v>164</v>
      </c>
      <c r="D44" s="1" t="s">
        <v>73</v>
      </c>
      <c r="E44" s="1" t="s">
        <v>72</v>
      </c>
      <c r="F44" s="1" t="s">
        <v>73</v>
      </c>
      <c r="G44" s="1" t="s">
        <v>73</v>
      </c>
      <c r="H44" s="1"/>
      <c r="I44" s="1">
        <v>8</v>
      </c>
      <c r="N44" s="1"/>
      <c r="O44" s="1"/>
      <c r="P44" s="1"/>
      <c r="Q44" s="1" t="s">
        <v>73</v>
      </c>
      <c r="R44" s="1" t="s">
        <v>73</v>
      </c>
      <c r="S44" s="1" t="s">
        <v>73</v>
      </c>
      <c r="T44" s="1"/>
      <c r="U44" s="1"/>
      <c r="V44" s="1"/>
      <c r="W44" s="1"/>
      <c r="X44" s="1"/>
      <c r="Y44" s="1"/>
      <c r="Z44" s="1" t="s">
        <v>73</v>
      </c>
      <c r="AA44" s="1" t="s">
        <v>73</v>
      </c>
      <c r="AC44" s="1"/>
      <c r="AE44" s="1"/>
      <c r="AF44" s="1"/>
      <c r="AK44" s="1" t="s">
        <v>73</v>
      </c>
      <c r="AL44" s="1" t="s">
        <v>73</v>
      </c>
      <c r="AN44" s="1" t="s">
        <v>73</v>
      </c>
      <c r="AP44" s="1" t="s">
        <v>73</v>
      </c>
      <c r="AR44" s="1" t="s">
        <v>73</v>
      </c>
      <c r="AT44" t="s">
        <v>73</v>
      </c>
      <c r="AW44" s="1">
        <v>10</v>
      </c>
      <c r="AX44" s="1">
        <v>0</v>
      </c>
      <c r="AY44" s="1" t="s">
        <v>73</v>
      </c>
      <c r="AZ44" s="1" t="s">
        <v>73</v>
      </c>
      <c r="BA44" s="126" t="s">
        <v>165</v>
      </c>
      <c r="BB44" s="1">
        <v>1822</v>
      </c>
      <c r="BC44" s="100">
        <v>45635.787199074075</v>
      </c>
      <c r="BD44" s="85">
        <v>45635.745532407411</v>
      </c>
      <c r="BE44" s="1" t="s">
        <v>73</v>
      </c>
      <c r="BF44" s="1" t="s">
        <v>73</v>
      </c>
      <c r="BG44" s="1" t="s">
        <v>73</v>
      </c>
      <c r="BH44" s="1" t="s">
        <v>73</v>
      </c>
      <c r="BI44" s="1" t="s">
        <v>73</v>
      </c>
      <c r="BJ44" s="1" t="s">
        <v>73</v>
      </c>
      <c r="BK44" s="1"/>
      <c r="BL44" s="1" t="s">
        <v>73</v>
      </c>
      <c r="BM44" s="1" t="s">
        <v>73</v>
      </c>
      <c r="BN44" s="1" t="s">
        <v>73</v>
      </c>
      <c r="BO44" s="1" t="s">
        <v>73</v>
      </c>
      <c r="BP44" s="1" t="s">
        <v>73</v>
      </c>
      <c r="BQ44" s="1" t="s">
        <v>73</v>
      </c>
      <c r="BR44" s="1"/>
      <c r="BS44" s="1" t="s">
        <v>73</v>
      </c>
      <c r="BT44" s="1" t="s">
        <v>369</v>
      </c>
      <c r="BU44" s="1" t="s">
        <v>369</v>
      </c>
      <c r="BV44" s="1" t="s">
        <v>369</v>
      </c>
      <c r="BW44" s="1"/>
    </row>
    <row r="45" spans="1:152" ht="16" x14ac:dyDescent="0.2">
      <c r="A45" t="s">
        <v>138</v>
      </c>
      <c r="B45" t="s">
        <v>182</v>
      </c>
      <c r="C45" t="s">
        <v>150</v>
      </c>
      <c r="D45" s="1" t="s">
        <v>73</v>
      </c>
      <c r="E45" s="1" t="s">
        <v>72</v>
      </c>
      <c r="F45" s="1" t="s">
        <v>72</v>
      </c>
      <c r="G45" s="1" t="s">
        <v>72</v>
      </c>
      <c r="H45" s="1"/>
      <c r="I45" s="1">
        <v>3</v>
      </c>
      <c r="N45" s="1"/>
      <c r="O45" s="1"/>
      <c r="P45" s="1"/>
      <c r="Q45" s="1" t="s">
        <v>73</v>
      </c>
      <c r="R45" s="1" t="s">
        <v>73</v>
      </c>
      <c r="S45" s="1" t="s">
        <v>73</v>
      </c>
      <c r="T45" s="1"/>
      <c r="U45" s="1"/>
      <c r="V45" s="1"/>
      <c r="W45" s="1"/>
      <c r="X45" s="1"/>
      <c r="Y45" s="1"/>
      <c r="Z45" s="1" t="s">
        <v>73</v>
      </c>
      <c r="AA45" s="1" t="s">
        <v>73</v>
      </c>
      <c r="AC45" s="1"/>
      <c r="AE45" s="1"/>
      <c r="AF45" s="1"/>
      <c r="AK45" s="1" t="s">
        <v>73</v>
      </c>
      <c r="AL45" s="1" t="s">
        <v>72</v>
      </c>
      <c r="AM45" s="1">
        <v>6</v>
      </c>
      <c r="AN45" s="1" t="s">
        <v>72</v>
      </c>
      <c r="AO45" s="1">
        <v>6</v>
      </c>
      <c r="AP45" s="1" t="s">
        <v>73</v>
      </c>
      <c r="AR45" s="1" t="s">
        <v>72</v>
      </c>
      <c r="AS45" s="1">
        <v>3</v>
      </c>
      <c r="AT45" t="s">
        <v>73</v>
      </c>
      <c r="AW45" s="1">
        <v>30</v>
      </c>
      <c r="AX45" s="1">
        <v>2</v>
      </c>
      <c r="AY45" s="1" t="s">
        <v>73</v>
      </c>
      <c r="AZ45" s="1" t="s">
        <v>73</v>
      </c>
      <c r="BA45" s="126" t="s">
        <v>73</v>
      </c>
      <c r="BB45" s="1">
        <v>1819</v>
      </c>
      <c r="BC45" s="100">
        <v>45634.99622685185</v>
      </c>
      <c r="BD45" s="85">
        <v>45656.68545138889</v>
      </c>
      <c r="BE45" s="1" t="s">
        <v>73</v>
      </c>
      <c r="BF45" s="1" t="s">
        <v>73</v>
      </c>
      <c r="BG45" s="1" t="s">
        <v>73</v>
      </c>
      <c r="BH45" s="1" t="s">
        <v>73</v>
      </c>
      <c r="BI45" s="1" t="s">
        <v>73</v>
      </c>
      <c r="BJ45" s="1" t="s">
        <v>73</v>
      </c>
      <c r="BK45" s="1"/>
      <c r="BL45" s="1" t="s">
        <v>73</v>
      </c>
      <c r="BM45" s="1" t="s">
        <v>73</v>
      </c>
      <c r="BN45" s="1" t="s">
        <v>73</v>
      </c>
      <c r="BO45" s="1" t="s">
        <v>73</v>
      </c>
      <c r="BP45" s="1" t="s">
        <v>73</v>
      </c>
      <c r="BQ45" s="1" t="s">
        <v>73</v>
      </c>
      <c r="BR45" s="1"/>
      <c r="BS45" s="1" t="s">
        <v>169</v>
      </c>
      <c r="BT45" s="1" t="s">
        <v>369</v>
      </c>
      <c r="BU45" s="1" t="s">
        <v>369</v>
      </c>
      <c r="BV45" s="1" t="s">
        <v>369</v>
      </c>
      <c r="BW45" s="1">
        <v>8</v>
      </c>
    </row>
    <row r="46" spans="1:152" ht="16" x14ac:dyDescent="0.2">
      <c r="A46" t="s">
        <v>138</v>
      </c>
      <c r="B46" t="s">
        <v>183</v>
      </c>
      <c r="C46" t="s">
        <v>137</v>
      </c>
      <c r="D46" s="1" t="s">
        <v>73</v>
      </c>
      <c r="E46" s="1" t="s">
        <v>72</v>
      </c>
      <c r="F46" s="1" t="s">
        <v>72</v>
      </c>
      <c r="G46" s="1" t="s">
        <v>73</v>
      </c>
      <c r="H46" s="1"/>
      <c r="I46" s="1"/>
      <c r="N46" s="1"/>
      <c r="O46" s="1"/>
      <c r="P46" s="1"/>
      <c r="Q46" s="1" t="s">
        <v>73</v>
      </c>
      <c r="R46" s="1" t="s">
        <v>73</v>
      </c>
      <c r="S46" s="1" t="s">
        <v>73</v>
      </c>
      <c r="T46" s="1"/>
      <c r="U46" s="1"/>
      <c r="V46" s="1"/>
      <c r="W46" s="1"/>
      <c r="X46" s="1"/>
      <c r="Y46" s="1"/>
      <c r="Z46" s="1" t="s">
        <v>73</v>
      </c>
      <c r="AA46" s="1" t="s">
        <v>73</v>
      </c>
      <c r="AC46" s="1"/>
      <c r="AE46" s="1"/>
      <c r="AF46" s="1"/>
      <c r="AK46" s="1" t="s">
        <v>73</v>
      </c>
      <c r="AL46" s="1" t="s">
        <v>72</v>
      </c>
      <c r="AM46" s="1">
        <v>6</v>
      </c>
      <c r="AN46" s="1" t="s">
        <v>72</v>
      </c>
      <c r="AO46" s="1">
        <v>4</v>
      </c>
      <c r="AP46" s="1" t="s">
        <v>73</v>
      </c>
      <c r="AR46" s="1" t="s">
        <v>72</v>
      </c>
      <c r="AS46" s="1">
        <v>5</v>
      </c>
      <c r="AT46" t="s">
        <v>73</v>
      </c>
      <c r="AW46" s="1">
        <v>16</v>
      </c>
      <c r="AX46" s="1">
        <v>1</v>
      </c>
      <c r="AY46" s="1" t="s">
        <v>73</v>
      </c>
      <c r="AZ46" s="1" t="s">
        <v>73</v>
      </c>
      <c r="BA46" s="126" t="s">
        <v>73</v>
      </c>
      <c r="BB46" s="1">
        <v>1813</v>
      </c>
      <c r="BC46" s="100">
        <v>45630.951053240744</v>
      </c>
      <c r="BD46" s="85">
        <v>45631.712673611109</v>
      </c>
      <c r="BE46" s="1" t="s">
        <v>73</v>
      </c>
      <c r="BF46" s="1" t="s">
        <v>73</v>
      </c>
      <c r="BG46" s="1" t="s">
        <v>73</v>
      </c>
      <c r="BH46" s="1" t="s">
        <v>73</v>
      </c>
      <c r="BI46" s="1" t="s">
        <v>73</v>
      </c>
      <c r="BJ46" s="1" t="s">
        <v>73</v>
      </c>
      <c r="BK46" s="1"/>
      <c r="BL46" s="1" t="s">
        <v>73</v>
      </c>
      <c r="BM46" s="1" t="s">
        <v>73</v>
      </c>
      <c r="BN46" s="1" t="s">
        <v>73</v>
      </c>
      <c r="BO46" s="1" t="s">
        <v>73</v>
      </c>
      <c r="BP46" s="1" t="s">
        <v>73</v>
      </c>
      <c r="BQ46" s="1" t="s">
        <v>73</v>
      </c>
      <c r="BR46" s="1"/>
      <c r="BS46" s="1" t="s">
        <v>73</v>
      </c>
      <c r="BT46" s="1" t="s">
        <v>369</v>
      </c>
      <c r="BU46" s="1" t="s">
        <v>369</v>
      </c>
      <c r="BV46" s="1" t="s">
        <v>369</v>
      </c>
      <c r="BW46" s="1"/>
    </row>
    <row r="47" spans="1:152" ht="17" thickBot="1" x14ac:dyDescent="0.25">
      <c r="A47" t="s">
        <v>138</v>
      </c>
      <c r="B47" t="s">
        <v>178</v>
      </c>
      <c r="C47" t="s">
        <v>132</v>
      </c>
      <c r="D47" s="1" t="s">
        <v>73</v>
      </c>
      <c r="E47" s="1" t="s">
        <v>72</v>
      </c>
      <c r="F47" s="1" t="s">
        <v>72</v>
      </c>
      <c r="G47" s="1" t="s">
        <v>73</v>
      </c>
      <c r="H47" s="1"/>
      <c r="I47" s="1"/>
      <c r="N47" s="1"/>
      <c r="O47" s="1"/>
      <c r="P47" s="1"/>
      <c r="Q47" s="1" t="s">
        <v>73</v>
      </c>
      <c r="R47" s="1" t="s">
        <v>73</v>
      </c>
      <c r="S47" s="1" t="s">
        <v>73</v>
      </c>
      <c r="T47" s="1"/>
      <c r="U47" s="1"/>
      <c r="V47" s="1"/>
      <c r="W47" s="1"/>
      <c r="X47" s="1"/>
      <c r="Y47" s="1"/>
      <c r="Z47" s="1" t="s">
        <v>73</v>
      </c>
      <c r="AA47" s="1" t="s">
        <v>73</v>
      </c>
      <c r="AC47" s="1"/>
      <c r="AE47" s="1"/>
      <c r="AF47" s="1"/>
      <c r="AK47" s="1" t="s">
        <v>73</v>
      </c>
      <c r="AL47" s="1" t="s">
        <v>72</v>
      </c>
      <c r="AM47" s="1">
        <v>6</v>
      </c>
      <c r="AN47" s="1" t="s">
        <v>72</v>
      </c>
      <c r="AO47" s="1">
        <v>6</v>
      </c>
      <c r="AP47" s="1" t="s">
        <v>72</v>
      </c>
      <c r="AQ47" s="1">
        <v>6</v>
      </c>
      <c r="AR47" s="1" t="s">
        <v>72</v>
      </c>
      <c r="AS47" s="1">
        <v>6</v>
      </c>
      <c r="AT47" t="s">
        <v>72</v>
      </c>
      <c r="AU47">
        <v>1</v>
      </c>
      <c r="AV47">
        <v>1</v>
      </c>
      <c r="AW47" s="1">
        <v>25</v>
      </c>
      <c r="AX47" s="1">
        <v>3</v>
      </c>
      <c r="AY47" s="1" t="s">
        <v>73</v>
      </c>
      <c r="AZ47" s="1" t="s">
        <v>73</v>
      </c>
      <c r="BA47" s="126" t="s">
        <v>73</v>
      </c>
      <c r="BB47" s="1">
        <v>1808</v>
      </c>
      <c r="BC47" s="100">
        <v>45619.804212962961</v>
      </c>
      <c r="BD47" s="85">
        <v>45631.712268518517</v>
      </c>
      <c r="BE47" s="1" t="s">
        <v>73</v>
      </c>
      <c r="BF47" s="1" t="s">
        <v>73</v>
      </c>
      <c r="BG47" s="1" t="s">
        <v>73</v>
      </c>
      <c r="BH47" s="1" t="s">
        <v>73</v>
      </c>
      <c r="BI47" s="1" t="s">
        <v>73</v>
      </c>
      <c r="BJ47" s="1" t="s">
        <v>73</v>
      </c>
      <c r="BK47" s="1"/>
      <c r="BL47" s="1" t="s">
        <v>73</v>
      </c>
      <c r="BM47" s="1" t="s">
        <v>73</v>
      </c>
      <c r="BN47" s="1" t="s">
        <v>73</v>
      </c>
      <c r="BO47" s="1" t="s">
        <v>73</v>
      </c>
      <c r="BP47" s="1" t="s">
        <v>73</v>
      </c>
      <c r="BQ47" s="1" t="s">
        <v>73</v>
      </c>
      <c r="BR47" s="1"/>
      <c r="BS47" s="1" t="s">
        <v>73</v>
      </c>
      <c r="BT47" s="1" t="s">
        <v>369</v>
      </c>
      <c r="BU47" s="1" t="s">
        <v>369</v>
      </c>
      <c r="BV47" s="1" t="s">
        <v>369</v>
      </c>
      <c r="BW47" s="1"/>
    </row>
    <row r="48" spans="1:152" ht="16" thickTop="1" x14ac:dyDescent="0.2">
      <c r="A48" t="s">
        <v>79</v>
      </c>
      <c r="C48">
        <f>SUBTOTAL(103,FSD[Naam vereniging])</f>
        <v>41</v>
      </c>
      <c r="D48" s="1">
        <f>COUNTIF(FSD[Delegatie],"x")</f>
        <v>2</v>
      </c>
      <c r="E48" s="16">
        <f>COUNTIF(FSD[Muziekkorps bij mars en defilé],"x")</f>
        <v>36</v>
      </c>
      <c r="F48" s="16">
        <f>COUNTIF(FSD[Deeln. jeugdkoningschieten],"x")</f>
        <v>27</v>
      </c>
      <c r="G48" s="16">
        <f>COUNTIF(FSD[Maj. Senioren jureren bij mars],"x")</f>
        <v>6</v>
      </c>
      <c r="H48" s="16">
        <f>COUNTIF(FSD[Maj. Jeugd jureren bij mars],"x")</f>
        <v>3</v>
      </c>
      <c r="I48" s="1">
        <f>SUBTOTAL(103,FSD[Korps senioren])</f>
        <v>30</v>
      </c>
      <c r="J48" s="1">
        <f>SUBTOTAL(103,FSD[Junioren korps 1])</f>
        <v>15</v>
      </c>
      <c r="K48" s="1">
        <f>SUBTOTAL(103,FSD[Junioren korps 2])</f>
        <v>0</v>
      </c>
      <c r="L48" s="1">
        <f>SUBTOTAL(103,FSD[Aspiranten korps 1])</f>
        <v>9</v>
      </c>
      <c r="M48" s="1">
        <f>SUBTOTAL(103,FSD[Aspiranten korps 2])</f>
        <v>2</v>
      </c>
      <c r="N48" s="1">
        <f>SUBTOTAL(103,FSD[Acrobatisch senioren])</f>
        <v>4</v>
      </c>
      <c r="O48" s="1">
        <f>SUBTOTAL(103,FSD[Acrobatisch junioren])</f>
        <v>1</v>
      </c>
      <c r="P48" s="1">
        <f>SUBTOTAL(103,FSD[Acrobatisch aspiranten])</f>
        <v>0</v>
      </c>
      <c r="Q48" s="1"/>
      <c r="R48" s="1"/>
      <c r="S48" s="1"/>
      <c r="T48" s="79">
        <f>SUBTOTAL(109,FSD[Senioren indiv.])</f>
        <v>11</v>
      </c>
      <c r="U48" s="79">
        <f>SUBTOTAL(109,FSD[Junioren indiv.])</f>
        <v>6</v>
      </c>
      <c r="V48" s="1">
        <f>SUBTOTAL(109,FSD[Aspiranten indiv.])</f>
        <v>7</v>
      </c>
      <c r="W48" s="1">
        <f>SUBTOTAL(109,FSD[Sen. ind opgegeven namen])</f>
        <v>11</v>
      </c>
      <c r="X48" s="1">
        <f>SUBTOTAL(109,FSD[Jun. ind opgegeven namen])</f>
        <v>6</v>
      </c>
      <c r="Y48" s="1">
        <f>SUBTOTAL(109,FSD[Asp. ind opgegeven namen])</f>
        <v>7</v>
      </c>
      <c r="Z48" s="16">
        <f>COUNTIF(FSD[Hoofdkorps],"x")</f>
        <v>9</v>
      </c>
      <c r="AA48" s="117">
        <f>COUNTIF(FSD[2e korps],"x")</f>
        <v>0</v>
      </c>
      <c r="AB48" s="1">
        <f>SUBTOTAL(109,FSD[Groepen, teams, ensembles en duo''s])</f>
        <v>38</v>
      </c>
      <c r="AC48" s="1">
        <f>SUBTOTAL(109,FSD[Senioren])</f>
        <v>83</v>
      </c>
      <c r="AD48" s="1">
        <f>SUBTOTAL(109,FSD[Jong volwassene])</f>
        <v>7</v>
      </c>
      <c r="AE48" s="1">
        <f>SUBTOTAL(109,FSD[Junioren])</f>
        <v>4</v>
      </c>
      <c r="AF48" s="1">
        <f>SUBTOTAL(109,FSD[Aspiranten])</f>
        <v>9</v>
      </c>
      <c r="AG48" s="1">
        <f>SUBTOTAL(109,FSD[Opgegeven senioren])</f>
        <v>82</v>
      </c>
      <c r="AH48" s="1">
        <f>SUBTOTAL(109,FSD[Opgegeven jong volwassene])</f>
        <v>5</v>
      </c>
      <c r="AI48" s="1">
        <f>SUBTOTAL(109,FSD[Opgegeven junioren])</f>
        <v>4</v>
      </c>
      <c r="AJ48" s="1">
        <f>SUBTOTAL(109,FSD[Opgegeven aspiranten])</f>
        <v>9</v>
      </c>
      <c r="AK48" s="1">
        <f>COUNTIF(FSD[Marketentsters],"x")</f>
        <v>7</v>
      </c>
      <c r="AL48" s="1">
        <f>COUNTIF(FSD[Luchtgeweer],"x")</f>
        <v>28</v>
      </c>
      <c r="AM48" s="1">
        <f>SUBTOTAL(109,FSD[Aantal luchtgeweerschutters])</f>
        <v>155</v>
      </c>
      <c r="AN48" s="1">
        <f>COUNTIF(FSD[Luchtpistool],"x")</f>
        <v>23</v>
      </c>
      <c r="AO48" s="1">
        <f>SUBTOTAL(109,FSD[Aantal luchtpistoolschutters])</f>
        <v>127</v>
      </c>
      <c r="AP48" s="1">
        <f>COUNTIF(FSD[Handboog],"x")</f>
        <v>2</v>
      </c>
      <c r="AQ48" s="1">
        <f>SUBTOTAL(109,FSD[Aantal handboogschutters])</f>
        <v>12</v>
      </c>
      <c r="AR48" s="1">
        <f>COUNTIF(FSD[Kruisboog],"x")</f>
        <v>21</v>
      </c>
      <c r="AS48" s="1">
        <f>SUBTOTAL(109,FSD[Aantal kruisboogschutters])</f>
        <v>117</v>
      </c>
      <c r="AT48" s="1">
        <f>COUNTIF(FSD[Luchtgeweer jeugd niet ouder dan 17 jaar.],"x")</f>
        <v>11</v>
      </c>
      <c r="AU48" s="1">
        <f>SUBTOTAL(109,FSD[Aantal korpsen])</f>
        <v>20</v>
      </c>
      <c r="AV48" s="1">
        <f>SUBTOTAL(109,FSD[Opgegeven jeugdkorpsen LG])</f>
        <v>18</v>
      </c>
      <c r="AW48" s="1">
        <f>SUBTOTAL(109,FSD[Totaal aantal deelnemers])</f>
        <v>2126</v>
      </c>
      <c r="AX48" s="1">
        <f>SUBTOTAL(109,FSD[Waarvan aantal jeugd (t/m 15 jaar)])</f>
        <v>404</v>
      </c>
      <c r="AY48" s="84">
        <f>COUNTIF(FSD[Kanon etc.],"x")</f>
        <v>10</v>
      </c>
      <c r="AZ48" s="1">
        <f>COUNTIF(FSD[Paarden en/of koetsen],"x")</f>
        <v>4</v>
      </c>
      <c r="BA48" s="63"/>
      <c r="BB48" s="1"/>
      <c r="BC48" s="1"/>
      <c r="BD48" s="1"/>
      <c r="BE48" s="1"/>
      <c r="BF48" s="1"/>
      <c r="BG48" s="1"/>
      <c r="BH48" s="1"/>
      <c r="BI48" s="1"/>
      <c r="BJ48" s="1"/>
      <c r="BK48" s="1"/>
      <c r="BL48" s="1"/>
      <c r="BM48" s="1"/>
      <c r="BN48" s="1"/>
      <c r="BO48" s="1"/>
      <c r="BP48" s="1"/>
      <c r="BQ48" s="1"/>
      <c r="BR48" s="1"/>
      <c r="BS48" s="1"/>
      <c r="BT48" s="1"/>
      <c r="BU48" s="1"/>
      <c r="BV48" s="1"/>
      <c r="BW48" s="1">
        <f>SUBTOTAL(109,FSD[Aantal opgegeven majorettes])</f>
        <v>122</v>
      </c>
    </row>
    <row r="50" spans="3:3" x14ac:dyDescent="0.2">
      <c r="C50" s="32"/>
    </row>
  </sheetData>
  <mergeCells count="15">
    <mergeCell ref="Q4:S4"/>
    <mergeCell ref="T4:Y4"/>
    <mergeCell ref="BE4:BK4"/>
    <mergeCell ref="A1:BW1"/>
    <mergeCell ref="A2:BW2"/>
    <mergeCell ref="D3:H3"/>
    <mergeCell ref="I3:Y3"/>
    <mergeCell ref="Z3:AA3"/>
    <mergeCell ref="AL3:AV3"/>
    <mergeCell ref="BE3:BR3"/>
    <mergeCell ref="AW3:BD3"/>
    <mergeCell ref="BS3:BW3"/>
    <mergeCell ref="BL4:BR4"/>
    <mergeCell ref="I4:M4"/>
    <mergeCell ref="N4:P4"/>
  </mergeCells>
  <phoneticPr fontId="2" type="noConversion"/>
  <conditionalFormatting sqref="W6:W47">
    <cfRule type="expression" dxfId="7" priority="6">
      <formula>$T6-$W6&lt;&gt;0</formula>
    </cfRule>
  </conditionalFormatting>
  <conditionalFormatting sqref="X6:X47">
    <cfRule type="expression" dxfId="6" priority="7">
      <formula>$U6-$X6&lt;&gt;0</formula>
    </cfRule>
  </conditionalFormatting>
  <conditionalFormatting sqref="Y6:Y47">
    <cfRule type="expression" dxfId="5" priority="8">
      <formula>$V6-$Y6&lt;&gt;0</formula>
    </cfRule>
  </conditionalFormatting>
  <conditionalFormatting sqref="AG6:AG47">
    <cfRule type="expression" dxfId="4" priority="5">
      <formula>$AC6-$AG6&lt;&gt;0</formula>
    </cfRule>
  </conditionalFormatting>
  <conditionalFormatting sqref="AH6:AH47">
    <cfRule type="expression" dxfId="3" priority="4">
      <formula>$AD6-$AH6&lt;&gt;0</formula>
    </cfRule>
  </conditionalFormatting>
  <conditionalFormatting sqref="AI6:AI47">
    <cfRule type="expression" dxfId="2" priority="3">
      <formula>$AE6-$AI6&lt;&gt;0</formula>
    </cfRule>
  </conditionalFormatting>
  <conditionalFormatting sqref="AJ6:AJ47">
    <cfRule type="expression" dxfId="1" priority="2">
      <formula>$AF6-$AJ6&lt;&gt;0</formula>
    </cfRule>
  </conditionalFormatting>
  <conditionalFormatting sqref="AV6:AV47">
    <cfRule type="expression" dxfId="0" priority="1">
      <formula>$AU6-$AV6&lt;&gt;0</formula>
    </cfRule>
  </conditionalFormatting>
  <pageMargins left="0.25" right="0.25" top="0.75" bottom="0.75" header="0.3" footer="0.3"/>
  <pageSetup paperSize="9" scale="50" fitToHeight="0" orientation="landscape" horizont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243C-AE29-44A8-A9C0-19C41604C858}">
  <sheetPr>
    <pageSetUpPr fitToPage="1"/>
  </sheetPr>
  <dimension ref="A1:AI39"/>
  <sheetViews>
    <sheetView topLeftCell="A26" zoomScale="110" zoomScaleNormal="110" workbookViewId="0">
      <selection activeCell="N3" sqref="N1:P1048576"/>
    </sheetView>
  </sheetViews>
  <sheetFormatPr baseColWidth="10" defaultColWidth="9.1640625" defaultRowHeight="16" x14ac:dyDescent="0.2"/>
  <cols>
    <col min="1" max="1" width="13.33203125" style="36" bestFit="1" customWidth="1"/>
    <col min="2" max="2" width="16" style="36" bestFit="1" customWidth="1"/>
    <col min="3" max="4" width="9.1640625" style="36" bestFit="1" customWidth="1"/>
    <col min="5" max="5" width="63.83203125" style="36" bestFit="1" customWidth="1"/>
    <col min="6" max="6" width="14" style="36" bestFit="1" customWidth="1"/>
    <col min="7" max="10" width="13.5" style="36" bestFit="1" customWidth="1"/>
    <col min="11" max="13" width="9.1640625" style="36" bestFit="1" customWidth="1"/>
    <col min="14" max="16" width="9.1640625" style="36" hidden="1" customWidth="1"/>
    <col min="17" max="17" width="4.83203125" style="36" customWidth="1"/>
    <col min="18" max="18" width="4.1640625" style="69" customWidth="1"/>
    <col min="19" max="19" width="5.1640625" style="69" customWidth="1"/>
    <col min="20" max="20" width="13.33203125" style="69" bestFit="1" customWidth="1"/>
    <col min="21" max="21" width="19.33203125" style="69" bestFit="1" customWidth="1"/>
    <col min="22" max="22" width="71.5" style="69" bestFit="1" customWidth="1"/>
    <col min="23" max="23" width="16" style="69" bestFit="1" customWidth="1"/>
    <col min="24" max="25" width="19.6640625" style="36" bestFit="1" customWidth="1"/>
    <col min="26" max="26" width="5.83203125" style="36" bestFit="1" customWidth="1"/>
    <col min="27" max="27" width="6.33203125" style="36" bestFit="1" customWidth="1"/>
    <col min="28" max="28" width="15.6640625" style="36" bestFit="1" customWidth="1"/>
    <col min="29" max="30" width="12.1640625" style="36" customWidth="1"/>
    <col min="31" max="32" width="15.83203125" style="36" bestFit="1" customWidth="1"/>
    <col min="33" max="16384" width="9.1640625" style="36"/>
  </cols>
  <sheetData>
    <row r="1" spans="1:35" ht="24" x14ac:dyDescent="0.2">
      <c r="A1" s="160" t="s">
        <v>144</v>
      </c>
      <c r="B1" s="160"/>
      <c r="C1" s="160"/>
      <c r="D1" s="160"/>
      <c r="E1" s="160"/>
      <c r="F1" s="160"/>
      <c r="G1" s="160"/>
      <c r="H1" s="160"/>
      <c r="I1" s="160"/>
      <c r="J1" s="160"/>
      <c r="K1" s="160"/>
      <c r="L1" s="160"/>
      <c r="M1" s="160"/>
      <c r="N1" s="160"/>
      <c r="O1" s="160"/>
      <c r="P1" s="160"/>
      <c r="Q1" s="160"/>
      <c r="R1" s="160"/>
      <c r="S1" s="160"/>
      <c r="T1" s="160"/>
      <c r="U1" s="160"/>
      <c r="V1" s="160"/>
      <c r="W1" s="160"/>
      <c r="X1" s="160"/>
      <c r="Y1" s="160"/>
      <c r="Z1" s="76"/>
      <c r="AA1" s="76"/>
      <c r="AB1" s="76"/>
      <c r="AC1" s="35"/>
      <c r="AD1" s="35"/>
      <c r="AE1" s="35"/>
    </row>
    <row r="2" spans="1:35" ht="24" x14ac:dyDescent="0.2">
      <c r="A2" s="160" t="s">
        <v>145</v>
      </c>
      <c r="B2" s="160"/>
      <c r="C2" s="160"/>
      <c r="D2" s="160"/>
      <c r="E2" s="160"/>
      <c r="F2" s="160"/>
      <c r="G2" s="160"/>
      <c r="H2" s="160"/>
      <c r="I2" s="160"/>
      <c r="J2" s="160"/>
      <c r="K2" s="160"/>
      <c r="L2" s="160"/>
      <c r="M2" s="160"/>
      <c r="N2" s="160"/>
      <c r="O2" s="160"/>
      <c r="P2" s="160"/>
      <c r="Q2" s="160"/>
      <c r="R2" s="160"/>
      <c r="S2" s="160"/>
      <c r="T2" s="160"/>
      <c r="U2" s="160"/>
      <c r="V2" s="160"/>
      <c r="W2" s="160"/>
      <c r="X2" s="160"/>
      <c r="Y2" s="160"/>
      <c r="Z2" s="76"/>
      <c r="AA2" s="76"/>
      <c r="AB2" s="76"/>
      <c r="AC2" s="35"/>
      <c r="AD2" s="35"/>
      <c r="AE2" s="35"/>
    </row>
    <row r="3" spans="1:35" ht="15" customHeight="1" thickBot="1" x14ac:dyDescent="0.25">
      <c r="A3" s="35"/>
      <c r="B3" s="35"/>
      <c r="C3" s="35"/>
      <c r="D3" s="35"/>
      <c r="E3" s="35"/>
      <c r="F3" s="35"/>
      <c r="G3" s="35"/>
      <c r="H3" s="35"/>
      <c r="I3" s="35"/>
      <c r="J3" s="35"/>
      <c r="K3" s="35"/>
      <c r="L3" s="35"/>
      <c r="M3" s="35"/>
      <c r="N3" s="35"/>
      <c r="O3" s="35"/>
      <c r="P3" s="37"/>
      <c r="Q3" s="35"/>
      <c r="R3" s="66"/>
      <c r="S3" s="66"/>
      <c r="T3" s="66"/>
      <c r="U3" s="66"/>
      <c r="V3" s="66"/>
      <c r="W3" s="66"/>
      <c r="X3" s="35"/>
      <c r="Y3" s="35"/>
      <c r="Z3" s="35"/>
      <c r="AA3" s="35"/>
      <c r="AB3" s="35"/>
      <c r="AC3" s="35"/>
      <c r="AD3" s="35"/>
      <c r="AE3" s="35"/>
    </row>
    <row r="4" spans="1:35" ht="24" x14ac:dyDescent="0.2">
      <c r="A4" s="38"/>
      <c r="B4" s="39"/>
      <c r="C4" s="39"/>
      <c r="D4" s="39"/>
      <c r="E4" s="40"/>
      <c r="F4" s="164" t="s">
        <v>87</v>
      </c>
      <c r="G4" s="165"/>
      <c r="H4" s="165"/>
      <c r="I4" s="165"/>
      <c r="J4" s="166"/>
      <c r="K4" s="164" t="s">
        <v>87</v>
      </c>
      <c r="L4" s="165"/>
      <c r="M4" s="166"/>
      <c r="N4" s="164" t="s">
        <v>87</v>
      </c>
      <c r="O4" s="165"/>
      <c r="P4" s="166"/>
      <c r="Q4" s="167" t="s">
        <v>88</v>
      </c>
      <c r="R4" s="168"/>
      <c r="S4" s="168"/>
      <c r="T4" s="67"/>
      <c r="U4" s="82"/>
      <c r="V4" s="82"/>
      <c r="W4" s="82"/>
      <c r="X4" s="82"/>
      <c r="Y4" s="82"/>
      <c r="Z4" s="39"/>
      <c r="AA4" s="40"/>
      <c r="AB4" s="35"/>
      <c r="AC4" s="35"/>
      <c r="AD4" s="35"/>
      <c r="AE4" s="35"/>
      <c r="AF4" s="35"/>
      <c r="AG4" s="35"/>
      <c r="AH4" s="35"/>
      <c r="AI4" s="35"/>
    </row>
    <row r="5" spans="1:35" ht="25" thickBot="1" x14ac:dyDescent="0.25">
      <c r="A5" s="41"/>
      <c r="B5" s="42"/>
      <c r="C5" s="42"/>
      <c r="D5" s="42"/>
      <c r="E5" s="43"/>
      <c r="F5" s="169" t="s">
        <v>11</v>
      </c>
      <c r="G5" s="170"/>
      <c r="H5" s="170"/>
      <c r="I5" s="170"/>
      <c r="J5" s="171"/>
      <c r="K5" s="159" t="s">
        <v>88</v>
      </c>
      <c r="L5" s="160"/>
      <c r="M5" s="161"/>
      <c r="N5" s="159" t="s">
        <v>13</v>
      </c>
      <c r="O5" s="160"/>
      <c r="P5" s="161"/>
      <c r="Q5" s="162" t="s">
        <v>14</v>
      </c>
      <c r="R5" s="163"/>
      <c r="S5" s="163"/>
      <c r="T5" s="68"/>
      <c r="U5" s="83"/>
      <c r="V5" s="83"/>
      <c r="W5" s="83"/>
      <c r="X5" s="83"/>
      <c r="Y5" s="83"/>
      <c r="Z5" s="42"/>
      <c r="AA5" s="43"/>
      <c r="AB5" s="35"/>
      <c r="AC5" s="35"/>
      <c r="AD5" s="35"/>
      <c r="AE5" s="35"/>
      <c r="AF5" s="35"/>
      <c r="AG5" s="35"/>
      <c r="AH5" s="35"/>
      <c r="AI5" s="35"/>
    </row>
    <row r="6" spans="1:35" s="47" customFormat="1" ht="62" x14ac:dyDescent="0.2">
      <c r="A6" s="2" t="s">
        <v>51</v>
      </c>
      <c r="B6" s="46" t="s">
        <v>52</v>
      </c>
      <c r="C6" s="44" t="s">
        <v>89</v>
      </c>
      <c r="D6" s="44" t="s">
        <v>90</v>
      </c>
      <c r="E6" s="45" t="s">
        <v>19</v>
      </c>
      <c r="F6" s="115" t="s">
        <v>91</v>
      </c>
      <c r="G6" s="116" t="s">
        <v>104</v>
      </c>
      <c r="H6" s="116" t="s">
        <v>105</v>
      </c>
      <c r="I6" s="116" t="s">
        <v>106</v>
      </c>
      <c r="J6" s="116" t="s">
        <v>107</v>
      </c>
      <c r="K6" s="112" t="s">
        <v>92</v>
      </c>
      <c r="L6" s="112" t="s">
        <v>93</v>
      </c>
      <c r="M6" s="112" t="s">
        <v>94</v>
      </c>
      <c r="N6" s="112" t="s">
        <v>95</v>
      </c>
      <c r="O6" s="112" t="s">
        <v>96</v>
      </c>
      <c r="P6" s="112" t="s">
        <v>97</v>
      </c>
      <c r="Q6" s="113" t="s">
        <v>38</v>
      </c>
      <c r="R6" s="113" t="s">
        <v>39</v>
      </c>
      <c r="S6" s="114" t="s">
        <v>40</v>
      </c>
      <c r="T6" s="46" t="s">
        <v>99</v>
      </c>
      <c r="U6" s="46" t="s">
        <v>100</v>
      </c>
      <c r="V6" s="46" t="s">
        <v>98</v>
      </c>
      <c r="W6" s="2" t="s">
        <v>108</v>
      </c>
    </row>
    <row r="7" spans="1:35" ht="17" x14ac:dyDescent="0.2">
      <c r="A7">
        <v>1976</v>
      </c>
      <c r="B7" s="130">
        <v>45656.72960648148</v>
      </c>
      <c r="C7" s="131" t="s">
        <v>151</v>
      </c>
      <c r="D7" s="131" t="s">
        <v>343</v>
      </c>
      <c r="E7" s="131" t="s">
        <v>344</v>
      </c>
      <c r="F7" s="132">
        <v>8</v>
      </c>
      <c r="G7" s="133">
        <v>5</v>
      </c>
      <c r="H7" s="133"/>
      <c r="I7" s="133"/>
      <c r="J7" s="133"/>
      <c r="K7" s="132"/>
      <c r="L7" s="132"/>
      <c r="M7" s="132"/>
      <c r="N7" s="132"/>
      <c r="O7" s="132"/>
      <c r="P7" s="132"/>
      <c r="Q7" s="132"/>
      <c r="R7" s="132"/>
      <c r="S7" s="132"/>
      <c r="T7" s="132">
        <v>13</v>
      </c>
      <c r="U7" s="132"/>
      <c r="V7" s="134" t="s">
        <v>73</v>
      </c>
      <c r="W7" s="135">
        <v>45656.687939814816</v>
      </c>
    </row>
    <row r="8" spans="1:35" ht="17" x14ac:dyDescent="0.2">
      <c r="A8">
        <v>1972</v>
      </c>
      <c r="B8" s="130">
        <v>45656.4765162037</v>
      </c>
      <c r="C8" s="131" t="s">
        <v>151</v>
      </c>
      <c r="D8" s="131" t="s">
        <v>345</v>
      </c>
      <c r="E8" s="131" t="s">
        <v>346</v>
      </c>
      <c r="F8" s="132">
        <v>10</v>
      </c>
      <c r="G8" s="133"/>
      <c r="H8" s="133"/>
      <c r="I8" s="133">
        <v>4</v>
      </c>
      <c r="J8" s="133"/>
      <c r="K8" s="132"/>
      <c r="L8" s="132"/>
      <c r="M8" s="132"/>
      <c r="N8" s="132"/>
      <c r="O8" s="132"/>
      <c r="P8" s="132"/>
      <c r="Q8" s="132">
        <v>1</v>
      </c>
      <c r="R8" s="132"/>
      <c r="S8" s="132"/>
      <c r="T8" s="132">
        <v>15</v>
      </c>
      <c r="U8" s="132">
        <v>4</v>
      </c>
      <c r="V8" s="134" t="s">
        <v>73</v>
      </c>
      <c r="W8" s="135">
        <v>45656.434849537036</v>
      </c>
    </row>
    <row r="9" spans="1:35" ht="17" x14ac:dyDescent="0.2">
      <c r="A9">
        <v>1967</v>
      </c>
      <c r="B9" s="130">
        <v>45655.556550925925</v>
      </c>
      <c r="C9" s="131" t="s">
        <v>151</v>
      </c>
      <c r="D9" s="131" t="s">
        <v>326</v>
      </c>
      <c r="E9" s="131" t="s">
        <v>327</v>
      </c>
      <c r="F9" s="132">
        <v>7</v>
      </c>
      <c r="G9" s="133"/>
      <c r="H9" s="133"/>
      <c r="I9" s="133"/>
      <c r="J9" s="133"/>
      <c r="K9" s="132">
        <v>7</v>
      </c>
      <c r="L9" s="132"/>
      <c r="M9" s="132"/>
      <c r="N9" s="132"/>
      <c r="O9" s="132"/>
      <c r="P9" s="132"/>
      <c r="Q9" s="132">
        <v>2</v>
      </c>
      <c r="R9" s="132"/>
      <c r="S9" s="132"/>
      <c r="T9" s="132">
        <v>16</v>
      </c>
      <c r="U9" s="132"/>
      <c r="V9" s="134" t="s">
        <v>73</v>
      </c>
      <c r="W9" s="135">
        <v>45655.514884259261</v>
      </c>
    </row>
    <row r="10" spans="1:35" ht="17" x14ac:dyDescent="0.2">
      <c r="A10">
        <v>1959</v>
      </c>
      <c r="B10" s="130">
        <v>45653.948136574072</v>
      </c>
      <c r="C10" s="131" t="s">
        <v>151</v>
      </c>
      <c r="D10" s="131" t="s">
        <v>316</v>
      </c>
      <c r="E10" s="131" t="s">
        <v>317</v>
      </c>
      <c r="F10" s="132"/>
      <c r="G10" s="133"/>
      <c r="H10" s="133"/>
      <c r="I10" s="133">
        <v>3</v>
      </c>
      <c r="J10" s="133"/>
      <c r="K10" s="132"/>
      <c r="L10" s="132"/>
      <c r="M10" s="132"/>
      <c r="N10" s="132"/>
      <c r="O10" s="132"/>
      <c r="P10" s="132"/>
      <c r="Q10" s="132"/>
      <c r="R10" s="132"/>
      <c r="S10" s="132"/>
      <c r="T10" s="132">
        <v>3</v>
      </c>
      <c r="U10" s="132">
        <v>3</v>
      </c>
      <c r="V10" s="134" t="s">
        <v>322</v>
      </c>
      <c r="W10" s="135">
        <v>45654.773217592592</v>
      </c>
    </row>
    <row r="11" spans="1:35" ht="17" x14ac:dyDescent="0.2">
      <c r="A11">
        <v>1952</v>
      </c>
      <c r="B11" s="130">
        <v>45653.862361111111</v>
      </c>
      <c r="C11" s="131" t="s">
        <v>151</v>
      </c>
      <c r="D11" s="131" t="s">
        <v>318</v>
      </c>
      <c r="E11" s="131" t="s">
        <v>319</v>
      </c>
      <c r="F11" s="132">
        <v>14</v>
      </c>
      <c r="G11" s="133">
        <v>8</v>
      </c>
      <c r="H11" s="133"/>
      <c r="I11" s="133">
        <v>4</v>
      </c>
      <c r="J11" s="133"/>
      <c r="K11" s="132">
        <v>13</v>
      </c>
      <c r="L11" s="132">
        <v>6</v>
      </c>
      <c r="M11" s="132"/>
      <c r="N11" s="132"/>
      <c r="O11" s="132"/>
      <c r="P11" s="132"/>
      <c r="Q11" s="132">
        <v>1</v>
      </c>
      <c r="R11" s="132">
        <v>2</v>
      </c>
      <c r="S11" s="132">
        <v>1</v>
      </c>
      <c r="T11" s="132">
        <v>49</v>
      </c>
      <c r="U11" s="132">
        <v>5</v>
      </c>
      <c r="V11" s="134" t="s">
        <v>73</v>
      </c>
      <c r="W11" s="135">
        <v>45653.820694444446</v>
      </c>
    </row>
    <row r="12" spans="1:35" ht="17" x14ac:dyDescent="0.2">
      <c r="A12">
        <v>1950</v>
      </c>
      <c r="B12" s="130">
        <v>45653.848657407405</v>
      </c>
      <c r="C12" s="131" t="s">
        <v>151</v>
      </c>
      <c r="D12" s="131" t="s">
        <v>314</v>
      </c>
      <c r="E12" s="131" t="s">
        <v>315</v>
      </c>
      <c r="F12" s="132">
        <v>6</v>
      </c>
      <c r="G12" s="133">
        <v>6</v>
      </c>
      <c r="H12" s="133"/>
      <c r="I12" s="133">
        <v>6</v>
      </c>
      <c r="J12" s="133">
        <v>6</v>
      </c>
      <c r="K12" s="132"/>
      <c r="L12" s="132"/>
      <c r="M12" s="132"/>
      <c r="N12" s="132"/>
      <c r="O12" s="132"/>
      <c r="P12" s="132"/>
      <c r="Q12" s="132"/>
      <c r="R12" s="132"/>
      <c r="S12" s="132"/>
      <c r="T12" s="132">
        <v>24</v>
      </c>
      <c r="U12" s="132">
        <v>12</v>
      </c>
      <c r="V12" s="134" t="s">
        <v>73</v>
      </c>
      <c r="W12" s="135">
        <v>45653.806990740741</v>
      </c>
    </row>
    <row r="13" spans="1:35" ht="17" x14ac:dyDescent="0.2">
      <c r="A13">
        <v>1945</v>
      </c>
      <c r="B13" s="130">
        <v>45653.773368055554</v>
      </c>
      <c r="C13" s="131" t="s">
        <v>151</v>
      </c>
      <c r="D13" s="131" t="s">
        <v>309</v>
      </c>
      <c r="E13" s="131" t="s">
        <v>310</v>
      </c>
      <c r="F13" s="132">
        <v>14</v>
      </c>
      <c r="G13" s="133">
        <v>3</v>
      </c>
      <c r="H13" s="133"/>
      <c r="I13" s="133"/>
      <c r="J13" s="133"/>
      <c r="K13" s="132">
        <v>4</v>
      </c>
      <c r="L13" s="132">
        <v>3</v>
      </c>
      <c r="M13" s="132"/>
      <c r="N13" s="132"/>
      <c r="O13" s="132"/>
      <c r="P13" s="132"/>
      <c r="Q13" s="132">
        <v>2</v>
      </c>
      <c r="R13" s="132">
        <v>2</v>
      </c>
      <c r="S13" s="132">
        <v>1</v>
      </c>
      <c r="T13" s="132">
        <v>29</v>
      </c>
      <c r="U13" s="132">
        <v>1</v>
      </c>
      <c r="V13" s="134" t="s">
        <v>73</v>
      </c>
      <c r="W13" s="135">
        <v>45653.73170138889</v>
      </c>
    </row>
    <row r="14" spans="1:35" ht="17" x14ac:dyDescent="0.2">
      <c r="A14">
        <v>1936</v>
      </c>
      <c r="B14" s="130">
        <v>45653.425196759257</v>
      </c>
      <c r="C14" s="131" t="s">
        <v>151</v>
      </c>
      <c r="D14" s="131" t="s">
        <v>311</v>
      </c>
      <c r="E14" s="131" t="s">
        <v>312</v>
      </c>
      <c r="F14" s="132">
        <v>4</v>
      </c>
      <c r="G14" s="133">
        <v>6</v>
      </c>
      <c r="H14" s="133"/>
      <c r="I14" s="133">
        <v>10</v>
      </c>
      <c r="J14" s="133">
        <v>3</v>
      </c>
      <c r="K14" s="132"/>
      <c r="L14" s="132"/>
      <c r="M14" s="132"/>
      <c r="N14" s="132"/>
      <c r="O14" s="132"/>
      <c r="P14" s="132"/>
      <c r="Q14" s="132"/>
      <c r="R14" s="132"/>
      <c r="S14" s="132"/>
      <c r="T14" s="132">
        <v>23</v>
      </c>
      <c r="U14" s="132">
        <v>13</v>
      </c>
      <c r="V14" s="134" t="s">
        <v>73</v>
      </c>
      <c r="W14" s="135">
        <v>45653.383530092593</v>
      </c>
    </row>
    <row r="15" spans="1:35" ht="34" x14ac:dyDescent="0.2">
      <c r="A15">
        <v>1934</v>
      </c>
      <c r="B15" s="130">
        <v>45653.002071759256</v>
      </c>
      <c r="C15" s="131" t="s">
        <v>151</v>
      </c>
      <c r="D15" s="131" t="s">
        <v>292</v>
      </c>
      <c r="E15" s="131" t="s">
        <v>293</v>
      </c>
      <c r="F15" s="132">
        <v>14</v>
      </c>
      <c r="G15" s="133"/>
      <c r="H15" s="133"/>
      <c r="I15" s="133">
        <v>4</v>
      </c>
      <c r="J15" s="133"/>
      <c r="K15" s="132"/>
      <c r="L15" s="132"/>
      <c r="M15" s="132"/>
      <c r="N15" s="132"/>
      <c r="O15" s="132"/>
      <c r="P15" s="132"/>
      <c r="Q15" s="132"/>
      <c r="R15" s="132"/>
      <c r="S15" s="132"/>
      <c r="T15" s="132">
        <v>18</v>
      </c>
      <c r="U15" s="132">
        <v>4</v>
      </c>
      <c r="V15" s="134" t="s">
        <v>294</v>
      </c>
      <c r="W15" s="135">
        <v>45652.960405092592</v>
      </c>
    </row>
    <row r="16" spans="1:35" ht="17" x14ac:dyDescent="0.2">
      <c r="A16">
        <v>1924</v>
      </c>
      <c r="B16" s="130">
        <v>45652.486805555556</v>
      </c>
      <c r="C16" s="131" t="s">
        <v>151</v>
      </c>
      <c r="D16" s="131" t="s">
        <v>288</v>
      </c>
      <c r="E16" s="131" t="s">
        <v>289</v>
      </c>
      <c r="F16" s="132">
        <v>10</v>
      </c>
      <c r="G16" s="133">
        <v>9</v>
      </c>
      <c r="H16" s="133"/>
      <c r="I16" s="133">
        <v>3</v>
      </c>
      <c r="J16" s="133"/>
      <c r="K16" s="132">
        <v>12</v>
      </c>
      <c r="L16" s="132"/>
      <c r="M16" s="132"/>
      <c r="N16" s="132"/>
      <c r="O16" s="132"/>
      <c r="P16" s="132"/>
      <c r="Q16" s="132"/>
      <c r="R16" s="132"/>
      <c r="S16" s="132"/>
      <c r="T16" s="132">
        <v>34</v>
      </c>
      <c r="U16" s="132">
        <v>3</v>
      </c>
      <c r="V16" s="134" t="s">
        <v>73</v>
      </c>
      <c r="W16" s="135">
        <v>45652.445138888892</v>
      </c>
    </row>
    <row r="17" spans="1:23" ht="17" x14ac:dyDescent="0.2">
      <c r="A17">
        <v>1906</v>
      </c>
      <c r="B17" s="130">
        <v>45649.591921296298</v>
      </c>
      <c r="C17" s="131" t="s">
        <v>151</v>
      </c>
      <c r="D17" s="131" t="s">
        <v>271</v>
      </c>
      <c r="E17" s="131" t="s">
        <v>272</v>
      </c>
      <c r="F17" s="132"/>
      <c r="G17" s="133">
        <v>4</v>
      </c>
      <c r="H17" s="133"/>
      <c r="I17" s="133">
        <v>2</v>
      </c>
      <c r="J17" s="133"/>
      <c r="K17" s="132"/>
      <c r="L17" s="132"/>
      <c r="M17" s="132"/>
      <c r="N17" s="132"/>
      <c r="O17" s="132"/>
      <c r="P17" s="132"/>
      <c r="Q17" s="132"/>
      <c r="R17" s="132"/>
      <c r="S17" s="132"/>
      <c r="T17" s="132">
        <v>6</v>
      </c>
      <c r="U17" s="132">
        <v>2</v>
      </c>
      <c r="V17" s="134" t="s">
        <v>73</v>
      </c>
      <c r="W17" s="135">
        <v>45649.550254629627</v>
      </c>
    </row>
    <row r="18" spans="1:23" ht="17" x14ac:dyDescent="0.2">
      <c r="A18">
        <v>1896</v>
      </c>
      <c r="B18" s="130">
        <v>45648.830879629626</v>
      </c>
      <c r="C18" s="131" t="s">
        <v>151</v>
      </c>
      <c r="D18" s="131" t="s">
        <v>262</v>
      </c>
      <c r="E18" s="131" t="s">
        <v>263</v>
      </c>
      <c r="F18" s="132">
        <v>10</v>
      </c>
      <c r="G18" s="133"/>
      <c r="H18" s="133"/>
      <c r="I18" s="133">
        <v>3</v>
      </c>
      <c r="J18" s="133"/>
      <c r="K18" s="132">
        <v>4</v>
      </c>
      <c r="L18" s="132"/>
      <c r="M18" s="132"/>
      <c r="N18" s="132"/>
      <c r="O18" s="132"/>
      <c r="P18" s="132"/>
      <c r="Q18" s="132"/>
      <c r="R18" s="132">
        <v>1</v>
      </c>
      <c r="S18" s="132">
        <v>1</v>
      </c>
      <c r="T18" s="132">
        <v>19</v>
      </c>
      <c r="U18" s="132">
        <v>4</v>
      </c>
      <c r="V18" s="134" t="s">
        <v>73</v>
      </c>
      <c r="W18" s="135">
        <v>45648.789212962962</v>
      </c>
    </row>
    <row r="19" spans="1:23" ht="17" x14ac:dyDescent="0.2">
      <c r="A19">
        <v>1893</v>
      </c>
      <c r="B19" s="130">
        <v>45648.803252314814</v>
      </c>
      <c r="C19" s="131" t="s">
        <v>151</v>
      </c>
      <c r="D19" s="131" t="s">
        <v>259</v>
      </c>
      <c r="E19" s="131" t="s">
        <v>260</v>
      </c>
      <c r="F19" s="132">
        <v>4</v>
      </c>
      <c r="G19" s="133"/>
      <c r="H19" s="133"/>
      <c r="I19" s="133"/>
      <c r="J19" s="133"/>
      <c r="K19" s="132"/>
      <c r="L19" s="132"/>
      <c r="M19" s="132"/>
      <c r="N19" s="132"/>
      <c r="O19" s="132"/>
      <c r="P19" s="132"/>
      <c r="Q19" s="132"/>
      <c r="R19" s="132"/>
      <c r="S19" s="132"/>
      <c r="T19" s="132">
        <v>4</v>
      </c>
      <c r="U19" s="132"/>
      <c r="V19" s="134" t="s">
        <v>73</v>
      </c>
      <c r="W19" s="135">
        <v>45648.76158564815</v>
      </c>
    </row>
    <row r="20" spans="1:23" ht="17" x14ac:dyDescent="0.2">
      <c r="A20">
        <v>1887</v>
      </c>
      <c r="B20" s="130">
        <v>45647.560381944444</v>
      </c>
      <c r="C20" s="131" t="s">
        <v>151</v>
      </c>
      <c r="D20" s="131" t="s">
        <v>247</v>
      </c>
      <c r="E20" s="131" t="s">
        <v>248</v>
      </c>
      <c r="F20" s="132">
        <v>8</v>
      </c>
      <c r="G20" s="133"/>
      <c r="H20" s="133"/>
      <c r="I20" s="133"/>
      <c r="J20" s="133"/>
      <c r="K20" s="132"/>
      <c r="L20" s="132"/>
      <c r="M20" s="132"/>
      <c r="N20" s="132"/>
      <c r="O20" s="132"/>
      <c r="P20" s="132"/>
      <c r="Q20" s="132"/>
      <c r="R20" s="132"/>
      <c r="S20" s="132"/>
      <c r="T20" s="132">
        <v>8</v>
      </c>
      <c r="U20" s="132"/>
      <c r="V20" s="134" t="s">
        <v>73</v>
      </c>
      <c r="W20" s="135">
        <v>45647.51871527778</v>
      </c>
    </row>
    <row r="21" spans="1:23" ht="17" x14ac:dyDescent="0.2">
      <c r="A21">
        <v>1884</v>
      </c>
      <c r="B21" s="130">
        <v>45647.547060185185</v>
      </c>
      <c r="C21" s="131" t="s">
        <v>151</v>
      </c>
      <c r="D21" s="131" t="s">
        <v>241</v>
      </c>
      <c r="E21" s="131" t="s">
        <v>242</v>
      </c>
      <c r="F21" s="132">
        <v>6</v>
      </c>
      <c r="G21" s="133">
        <v>3</v>
      </c>
      <c r="H21" s="133"/>
      <c r="I21" s="133"/>
      <c r="J21" s="133"/>
      <c r="K21" s="132"/>
      <c r="L21" s="132"/>
      <c r="M21" s="132"/>
      <c r="N21" s="132"/>
      <c r="O21" s="132"/>
      <c r="P21" s="132"/>
      <c r="Q21" s="132">
        <v>1</v>
      </c>
      <c r="R21" s="132"/>
      <c r="S21" s="132"/>
      <c r="T21" s="132">
        <v>10</v>
      </c>
      <c r="U21" s="132"/>
      <c r="V21" s="134" t="s">
        <v>73</v>
      </c>
      <c r="W21" s="135">
        <v>45647.505393518521</v>
      </c>
    </row>
    <row r="22" spans="1:23" ht="17" x14ac:dyDescent="0.2">
      <c r="A22">
        <v>1883</v>
      </c>
      <c r="B22" s="130">
        <v>45647.526469907411</v>
      </c>
      <c r="C22" s="131" t="s">
        <v>151</v>
      </c>
      <c r="D22" s="131" t="s">
        <v>249</v>
      </c>
      <c r="E22" s="131" t="s">
        <v>250</v>
      </c>
      <c r="F22" s="132">
        <v>7</v>
      </c>
      <c r="G22" s="133">
        <v>3</v>
      </c>
      <c r="H22" s="133"/>
      <c r="I22" s="133"/>
      <c r="J22" s="133"/>
      <c r="K22" s="132"/>
      <c r="L22" s="132"/>
      <c r="M22" s="132"/>
      <c r="N22" s="132"/>
      <c r="O22" s="132"/>
      <c r="P22" s="132"/>
      <c r="Q22" s="132"/>
      <c r="R22" s="132">
        <v>1</v>
      </c>
      <c r="S22" s="132"/>
      <c r="T22" s="132">
        <v>11</v>
      </c>
      <c r="U22" s="132"/>
      <c r="V22" s="134" t="s">
        <v>73</v>
      </c>
      <c r="W22" s="135">
        <v>45647.484803240739</v>
      </c>
    </row>
    <row r="23" spans="1:23" ht="17" x14ac:dyDescent="0.2">
      <c r="A23">
        <v>1879</v>
      </c>
      <c r="B23" s="130">
        <v>45647.415462962963</v>
      </c>
      <c r="C23" s="131" t="s">
        <v>151</v>
      </c>
      <c r="D23" s="131" t="s">
        <v>244</v>
      </c>
      <c r="E23" s="131" t="s">
        <v>245</v>
      </c>
      <c r="F23" s="132">
        <v>7</v>
      </c>
      <c r="G23" s="133"/>
      <c r="H23" s="133"/>
      <c r="I23" s="133"/>
      <c r="J23" s="133"/>
      <c r="K23" s="132"/>
      <c r="L23" s="132"/>
      <c r="M23" s="132"/>
      <c r="N23" s="132"/>
      <c r="O23" s="132"/>
      <c r="P23" s="132"/>
      <c r="Q23" s="132">
        <v>2</v>
      </c>
      <c r="R23" s="132"/>
      <c r="S23" s="132"/>
      <c r="T23" s="132">
        <v>9</v>
      </c>
      <c r="U23" s="132"/>
      <c r="V23" s="134" t="s">
        <v>73</v>
      </c>
      <c r="W23" s="135">
        <v>45647.373796296299</v>
      </c>
    </row>
    <row r="24" spans="1:23" ht="17" x14ac:dyDescent="0.2">
      <c r="A24">
        <v>1878</v>
      </c>
      <c r="B24" s="130">
        <v>45646.827939814815</v>
      </c>
      <c r="C24" s="131" t="s">
        <v>151</v>
      </c>
      <c r="D24" s="131" t="s">
        <v>254</v>
      </c>
      <c r="E24" s="131" t="s">
        <v>255</v>
      </c>
      <c r="F24" s="132">
        <v>6</v>
      </c>
      <c r="G24" s="133"/>
      <c r="H24" s="133"/>
      <c r="I24" s="133"/>
      <c r="J24" s="133"/>
      <c r="K24" s="132"/>
      <c r="L24" s="132"/>
      <c r="M24" s="132"/>
      <c r="N24" s="132"/>
      <c r="O24" s="132"/>
      <c r="P24" s="132"/>
      <c r="Q24" s="132"/>
      <c r="R24" s="132"/>
      <c r="S24" s="132"/>
      <c r="T24" s="132">
        <v>6</v>
      </c>
      <c r="U24" s="132"/>
      <c r="V24" s="134" t="s">
        <v>73</v>
      </c>
      <c r="W24" s="135">
        <v>45646.786273148151</v>
      </c>
    </row>
    <row r="25" spans="1:23" ht="17" x14ac:dyDescent="0.2">
      <c r="A25">
        <v>1875</v>
      </c>
      <c r="B25" s="130">
        <v>45646.462129629632</v>
      </c>
      <c r="C25" s="131" t="s">
        <v>151</v>
      </c>
      <c r="D25" s="131" t="s">
        <v>234</v>
      </c>
      <c r="E25" s="131" t="s">
        <v>235</v>
      </c>
      <c r="F25" s="132">
        <v>16</v>
      </c>
      <c r="G25" s="133"/>
      <c r="H25" s="133"/>
      <c r="I25" s="133"/>
      <c r="J25" s="133"/>
      <c r="K25" s="132"/>
      <c r="L25" s="132"/>
      <c r="M25" s="132"/>
      <c r="N25" s="132"/>
      <c r="O25" s="132"/>
      <c r="P25" s="132"/>
      <c r="Q25" s="132"/>
      <c r="R25" s="132"/>
      <c r="S25" s="132"/>
      <c r="T25" s="132">
        <v>16</v>
      </c>
      <c r="U25" s="132"/>
      <c r="V25" s="134" t="s">
        <v>73</v>
      </c>
      <c r="W25" s="135">
        <v>45646.42046296296</v>
      </c>
    </row>
    <row r="26" spans="1:23" ht="17" x14ac:dyDescent="0.2">
      <c r="A26">
        <v>1871</v>
      </c>
      <c r="B26" s="130">
        <v>45645.464629629627</v>
      </c>
      <c r="C26" s="131" t="s">
        <v>151</v>
      </c>
      <c r="D26" s="131" t="s">
        <v>231</v>
      </c>
      <c r="E26" s="131" t="s">
        <v>232</v>
      </c>
      <c r="F26" s="132">
        <v>10</v>
      </c>
      <c r="G26" s="133"/>
      <c r="H26" s="133"/>
      <c r="I26" s="133"/>
      <c r="J26" s="133"/>
      <c r="K26" s="132"/>
      <c r="L26" s="132"/>
      <c r="M26" s="132"/>
      <c r="N26" s="132"/>
      <c r="O26" s="132"/>
      <c r="P26" s="132"/>
      <c r="Q26" s="132"/>
      <c r="R26" s="132"/>
      <c r="S26" s="132"/>
      <c r="T26" s="132">
        <v>10</v>
      </c>
      <c r="U26" s="132"/>
      <c r="V26" s="134" t="s">
        <v>239</v>
      </c>
      <c r="W26" s="135">
        <v>45645.422962962963</v>
      </c>
    </row>
    <row r="27" spans="1:23" ht="17" x14ac:dyDescent="0.2">
      <c r="A27">
        <v>1866</v>
      </c>
      <c r="B27" s="130">
        <v>45644.851886574077</v>
      </c>
      <c r="C27" s="131" t="s">
        <v>151</v>
      </c>
      <c r="D27" s="131" t="s">
        <v>228</v>
      </c>
      <c r="E27" s="131" t="s">
        <v>229</v>
      </c>
      <c r="F27" s="132">
        <v>6</v>
      </c>
      <c r="G27" s="133"/>
      <c r="H27" s="133"/>
      <c r="I27" s="133"/>
      <c r="J27" s="133"/>
      <c r="K27" s="132"/>
      <c r="L27" s="132"/>
      <c r="M27" s="132"/>
      <c r="N27" s="132"/>
      <c r="O27" s="132"/>
      <c r="P27" s="132"/>
      <c r="Q27" s="132"/>
      <c r="R27" s="132"/>
      <c r="S27" s="132"/>
      <c r="T27" s="132">
        <v>6</v>
      </c>
      <c r="U27" s="132"/>
      <c r="V27" s="134" t="s">
        <v>73</v>
      </c>
      <c r="W27" s="135">
        <v>45644.810219907406</v>
      </c>
    </row>
    <row r="28" spans="1:23" ht="17" x14ac:dyDescent="0.2">
      <c r="A28">
        <v>1861</v>
      </c>
      <c r="B28" s="130">
        <v>45644.479097222225</v>
      </c>
      <c r="C28" s="131" t="s">
        <v>151</v>
      </c>
      <c r="D28" s="131" t="s">
        <v>205</v>
      </c>
      <c r="E28" s="131" t="s">
        <v>206</v>
      </c>
      <c r="F28" s="132"/>
      <c r="G28" s="133">
        <v>7</v>
      </c>
      <c r="H28" s="133"/>
      <c r="I28" s="133"/>
      <c r="J28" s="133"/>
      <c r="K28" s="132"/>
      <c r="L28" s="132"/>
      <c r="M28" s="132"/>
      <c r="N28" s="132"/>
      <c r="O28" s="132"/>
      <c r="P28" s="132"/>
      <c r="Q28" s="132"/>
      <c r="R28" s="132"/>
      <c r="S28" s="132"/>
      <c r="T28" s="132">
        <v>7</v>
      </c>
      <c r="U28" s="132"/>
      <c r="V28" s="134" t="s">
        <v>222</v>
      </c>
      <c r="W28" s="135">
        <v>45644.534687500003</v>
      </c>
    </row>
    <row r="29" spans="1:23" ht="17" x14ac:dyDescent="0.2">
      <c r="A29">
        <v>1854</v>
      </c>
      <c r="B29" s="130">
        <v>45643.488506944443</v>
      </c>
      <c r="C29" s="131" t="s">
        <v>151</v>
      </c>
      <c r="D29" s="131" t="s">
        <v>207</v>
      </c>
      <c r="E29" s="131" t="s">
        <v>236</v>
      </c>
      <c r="F29" s="132">
        <v>7</v>
      </c>
      <c r="G29" s="133">
        <v>4</v>
      </c>
      <c r="H29" s="133"/>
      <c r="I29" s="133">
        <v>5</v>
      </c>
      <c r="J29" s="133"/>
      <c r="K29" s="132"/>
      <c r="L29" s="132"/>
      <c r="M29" s="132"/>
      <c r="N29" s="132"/>
      <c r="O29" s="132"/>
      <c r="P29" s="132"/>
      <c r="Q29" s="132"/>
      <c r="R29" s="132"/>
      <c r="S29" s="132"/>
      <c r="T29" s="132">
        <v>16</v>
      </c>
      <c r="U29" s="132">
        <v>5</v>
      </c>
      <c r="V29" s="134" t="s">
        <v>73</v>
      </c>
      <c r="W29" s="135">
        <v>45646.443449074075</v>
      </c>
    </row>
    <row r="30" spans="1:23" ht="17" x14ac:dyDescent="0.2">
      <c r="A30">
        <v>1851</v>
      </c>
      <c r="B30" s="130">
        <v>45642.834849537037</v>
      </c>
      <c r="C30" s="131" t="s">
        <v>151</v>
      </c>
      <c r="D30" s="131" t="s">
        <v>208</v>
      </c>
      <c r="E30" s="131" t="s">
        <v>209</v>
      </c>
      <c r="F30" s="132">
        <v>8</v>
      </c>
      <c r="G30" s="133">
        <v>10</v>
      </c>
      <c r="H30" s="133"/>
      <c r="I30" s="133">
        <v>4</v>
      </c>
      <c r="J30" s="133">
        <v>4</v>
      </c>
      <c r="K30" s="132"/>
      <c r="L30" s="132"/>
      <c r="M30" s="132"/>
      <c r="N30" s="132"/>
      <c r="O30" s="132"/>
      <c r="P30" s="132"/>
      <c r="Q30" s="132"/>
      <c r="R30" s="132"/>
      <c r="S30" s="132"/>
      <c r="T30" s="132">
        <v>26</v>
      </c>
      <c r="U30" s="132">
        <v>8</v>
      </c>
      <c r="V30" s="134" t="s">
        <v>73</v>
      </c>
      <c r="W30" s="135">
        <v>45642.793182870373</v>
      </c>
    </row>
    <row r="31" spans="1:23" ht="17" x14ac:dyDescent="0.2">
      <c r="A31">
        <v>1845</v>
      </c>
      <c r="B31" s="130">
        <v>45642.795995370368</v>
      </c>
      <c r="C31" s="131" t="s">
        <v>151</v>
      </c>
      <c r="D31" s="131" t="s">
        <v>210</v>
      </c>
      <c r="E31" s="131" t="s">
        <v>211</v>
      </c>
      <c r="F31" s="132">
        <v>5</v>
      </c>
      <c r="G31" s="133">
        <v>3</v>
      </c>
      <c r="H31" s="133"/>
      <c r="I31" s="133"/>
      <c r="J31" s="133"/>
      <c r="K31" s="132">
        <v>4</v>
      </c>
      <c r="L31" s="132"/>
      <c r="M31" s="132"/>
      <c r="N31" s="132"/>
      <c r="O31" s="132"/>
      <c r="P31" s="132"/>
      <c r="Q31" s="132">
        <v>3</v>
      </c>
      <c r="R31" s="132">
        <v>1</v>
      </c>
      <c r="S31" s="132"/>
      <c r="T31" s="132">
        <v>16</v>
      </c>
      <c r="U31" s="132"/>
      <c r="V31" s="134" t="s">
        <v>73</v>
      </c>
      <c r="W31" s="135">
        <v>45642.754328703704</v>
      </c>
    </row>
    <row r="32" spans="1:23" ht="17" x14ac:dyDescent="0.2">
      <c r="A32">
        <v>1836</v>
      </c>
      <c r="B32" s="130">
        <v>45641.51630787037</v>
      </c>
      <c r="C32" s="131" t="s">
        <v>151</v>
      </c>
      <c r="D32" s="131" t="s">
        <v>153</v>
      </c>
      <c r="E32" s="131" t="s">
        <v>154</v>
      </c>
      <c r="F32" s="132">
        <v>14</v>
      </c>
      <c r="G32" s="133"/>
      <c r="H32" s="133"/>
      <c r="I32" s="133"/>
      <c r="J32" s="133"/>
      <c r="K32" s="132">
        <v>6</v>
      </c>
      <c r="L32" s="132"/>
      <c r="M32" s="132"/>
      <c r="N32" s="132"/>
      <c r="O32" s="132"/>
      <c r="P32" s="132"/>
      <c r="Q32" s="132">
        <v>4</v>
      </c>
      <c r="R32" s="132"/>
      <c r="S32" s="132"/>
      <c r="T32" s="132">
        <v>24</v>
      </c>
      <c r="U32" s="132"/>
      <c r="V32" s="134" t="s">
        <v>73</v>
      </c>
      <c r="W32" s="135">
        <v>45641.474641203706</v>
      </c>
    </row>
    <row r="33" spans="1:23" ht="17" x14ac:dyDescent="0.2">
      <c r="A33">
        <v>1831</v>
      </c>
      <c r="B33" s="130">
        <v>45639.378553240742</v>
      </c>
      <c r="C33" s="131" t="s">
        <v>151</v>
      </c>
      <c r="D33" s="131" t="s">
        <v>172</v>
      </c>
      <c r="E33" s="131" t="s">
        <v>168</v>
      </c>
      <c r="F33" s="132">
        <v>10</v>
      </c>
      <c r="G33" s="133">
        <v>3</v>
      </c>
      <c r="H33" s="133"/>
      <c r="I33" s="133">
        <v>6</v>
      </c>
      <c r="J33" s="133"/>
      <c r="K33" s="132"/>
      <c r="L33" s="132"/>
      <c r="M33" s="132"/>
      <c r="N33" s="132"/>
      <c r="O33" s="132"/>
      <c r="P33" s="132"/>
      <c r="Q33" s="132"/>
      <c r="R33" s="132"/>
      <c r="S33" s="132"/>
      <c r="T33" s="132">
        <v>19</v>
      </c>
      <c r="U33" s="132">
        <v>6</v>
      </c>
      <c r="V33" s="134" t="s">
        <v>73</v>
      </c>
      <c r="W33" s="135">
        <v>45639.336886574078</v>
      </c>
    </row>
    <row r="34" spans="1:23" ht="17" x14ac:dyDescent="0.2">
      <c r="A34">
        <v>1827</v>
      </c>
      <c r="B34" s="130">
        <v>45637.593124999999</v>
      </c>
      <c r="C34" s="131" t="s">
        <v>151</v>
      </c>
      <c r="D34" s="131" t="s">
        <v>179</v>
      </c>
      <c r="E34" s="131" t="s">
        <v>166</v>
      </c>
      <c r="F34" s="132"/>
      <c r="G34" s="133"/>
      <c r="H34" s="133"/>
      <c r="I34" s="133">
        <v>6</v>
      </c>
      <c r="J34" s="133"/>
      <c r="K34" s="132"/>
      <c r="L34" s="132"/>
      <c r="M34" s="132"/>
      <c r="N34" s="132"/>
      <c r="O34" s="132"/>
      <c r="P34" s="132"/>
      <c r="Q34" s="132"/>
      <c r="R34" s="132">
        <v>1</v>
      </c>
      <c r="S34" s="132">
        <v>5</v>
      </c>
      <c r="T34" s="132">
        <v>12</v>
      </c>
      <c r="U34" s="132">
        <v>11</v>
      </c>
      <c r="V34" s="134" t="s">
        <v>73</v>
      </c>
      <c r="W34" s="135">
        <v>45637.551458333335</v>
      </c>
    </row>
    <row r="35" spans="1:23" ht="17" x14ac:dyDescent="0.2">
      <c r="A35">
        <v>1824</v>
      </c>
      <c r="B35" s="130">
        <v>45637.575682870367</v>
      </c>
      <c r="C35" s="131" t="s">
        <v>151</v>
      </c>
      <c r="D35" s="131" t="s">
        <v>181</v>
      </c>
      <c r="E35" s="131" t="s">
        <v>159</v>
      </c>
      <c r="F35" s="132">
        <v>7</v>
      </c>
      <c r="G35" s="133"/>
      <c r="H35" s="133"/>
      <c r="I35" s="133"/>
      <c r="J35" s="133"/>
      <c r="K35" s="132"/>
      <c r="L35" s="132"/>
      <c r="M35" s="132"/>
      <c r="N35" s="132"/>
      <c r="O35" s="132"/>
      <c r="P35" s="132"/>
      <c r="Q35" s="132">
        <v>1</v>
      </c>
      <c r="R35" s="132"/>
      <c r="S35" s="132"/>
      <c r="T35" s="132">
        <v>8</v>
      </c>
      <c r="U35" s="132"/>
      <c r="V35" s="134" t="s">
        <v>73</v>
      </c>
      <c r="W35" s="135">
        <v>45637.534016203703</v>
      </c>
    </row>
    <row r="36" spans="1:23" ht="17" x14ac:dyDescent="0.2">
      <c r="A36">
        <v>1820</v>
      </c>
      <c r="B36" s="130">
        <v>45635.779479166667</v>
      </c>
      <c r="C36" s="131" t="s">
        <v>151</v>
      </c>
      <c r="D36" s="131" t="s">
        <v>175</v>
      </c>
      <c r="E36" s="131" t="s">
        <v>164</v>
      </c>
      <c r="F36" s="132">
        <v>8</v>
      </c>
      <c r="G36" s="133"/>
      <c r="H36" s="133"/>
      <c r="I36" s="133"/>
      <c r="J36" s="133"/>
      <c r="K36" s="132"/>
      <c r="L36" s="132"/>
      <c r="M36" s="132"/>
      <c r="N36" s="132"/>
      <c r="O36" s="132"/>
      <c r="P36" s="132"/>
      <c r="Q36" s="132"/>
      <c r="R36" s="132"/>
      <c r="S36" s="132"/>
      <c r="T36" s="132">
        <v>8</v>
      </c>
      <c r="U36" s="132"/>
      <c r="V36" s="134" t="s">
        <v>73</v>
      </c>
      <c r="W36" s="135">
        <v>45635.737812500003</v>
      </c>
    </row>
    <row r="37" spans="1:23" ht="17" x14ac:dyDescent="0.2">
      <c r="A37">
        <v>1817</v>
      </c>
      <c r="B37" s="130">
        <v>45634.985729166663</v>
      </c>
      <c r="C37" s="131" t="s">
        <v>151</v>
      </c>
      <c r="D37" s="131" t="s">
        <v>182</v>
      </c>
      <c r="E37" s="131" t="s">
        <v>150</v>
      </c>
      <c r="F37" s="132">
        <v>3</v>
      </c>
      <c r="G37" s="133"/>
      <c r="H37" s="133"/>
      <c r="I37" s="133"/>
      <c r="J37" s="133"/>
      <c r="K37" s="132"/>
      <c r="L37" s="132"/>
      <c r="M37" s="132"/>
      <c r="N37" s="132"/>
      <c r="O37" s="132"/>
      <c r="P37" s="132"/>
      <c r="Q37" s="132"/>
      <c r="R37" s="132"/>
      <c r="S37" s="132"/>
      <c r="T37" s="132">
        <v>3</v>
      </c>
      <c r="U37" s="132"/>
      <c r="V37" s="134" t="s">
        <v>73</v>
      </c>
      <c r="W37" s="135">
        <v>45634.944062499999</v>
      </c>
    </row>
    <row r="38" spans="1:23" ht="17" x14ac:dyDescent="0.2">
      <c r="A38">
        <v>1811</v>
      </c>
      <c r="B38" s="130">
        <v>45630.538402777776</v>
      </c>
      <c r="C38" s="131" t="s">
        <v>151</v>
      </c>
      <c r="D38" s="131" t="s">
        <v>185</v>
      </c>
      <c r="E38" s="131" t="s">
        <v>133</v>
      </c>
      <c r="F38" s="132">
        <v>9</v>
      </c>
      <c r="G38" s="133">
        <v>3</v>
      </c>
      <c r="H38" s="133"/>
      <c r="I38" s="133">
        <v>3</v>
      </c>
      <c r="J38" s="133"/>
      <c r="K38" s="132"/>
      <c r="L38" s="132"/>
      <c r="M38" s="132"/>
      <c r="N38" s="132"/>
      <c r="O38" s="132"/>
      <c r="P38" s="132"/>
      <c r="Q38" s="132"/>
      <c r="R38" s="132"/>
      <c r="S38" s="132"/>
      <c r="T38" s="132">
        <v>15</v>
      </c>
      <c r="U38" s="132">
        <v>3</v>
      </c>
      <c r="V38" s="134" t="s">
        <v>73</v>
      </c>
      <c r="W38" s="135">
        <v>45631.710057870368</v>
      </c>
    </row>
    <row r="39" spans="1:23" x14ac:dyDescent="0.2">
      <c r="A39" t="s">
        <v>79</v>
      </c>
      <c r="B39" s="127"/>
      <c r="C39" s="127">
        <f>SUBTOTAL(103,GKVI[GKVI])</f>
        <v>32</v>
      </c>
      <c r="D39" s="127"/>
      <c r="E39" s="127"/>
      <c r="F39" s="128">
        <f>SUBTOTAL(109,GKVI[Korps klassiek senioren])</f>
        <v>238</v>
      </c>
      <c r="G39" s="128">
        <f>SUBTOTAL(109,GKVI[Korps 1 klassiek junioren])</f>
        <v>77</v>
      </c>
      <c r="H39" s="128">
        <f>SUBTOTAL(109,GKVI[Korps 2 klassiek junioren])</f>
        <v>0</v>
      </c>
      <c r="I39" s="128">
        <f>SUBTOTAL(109,GKVI[Korps 1 klassiek aspiranten])</f>
        <v>63</v>
      </c>
      <c r="J39" s="128">
        <f>SUBTOTAL(109,GKVI[Korps 2 klassiek aspiranten])</f>
        <v>13</v>
      </c>
      <c r="K39" s="128">
        <f>SUBTOTAL(109,GKVI[Korps acrob. senioren])</f>
        <v>50</v>
      </c>
      <c r="L39" s="128">
        <f>SUBTOTAL(109,GKVI[Korps acrob. junioren])</f>
        <v>9</v>
      </c>
      <c r="M39" s="128">
        <f>SUBTOTAL(109,GKVI[Korps acrob. aspiranten])</f>
        <v>0</v>
      </c>
      <c r="N39" s="128"/>
      <c r="O39" s="128">
        <f>SUBTOTAL(109,GKVI[Korps show junioren])</f>
        <v>0</v>
      </c>
      <c r="P39" s="128">
        <f>SUBTOTAL(109,GKVI[Korps show aspiranten])</f>
        <v>0</v>
      </c>
      <c r="Q39" s="128">
        <f>SUBTOTAL(109,GKVI[Senioren])</f>
        <v>17</v>
      </c>
      <c r="R39" s="128">
        <f>SUBTOTAL(109,GKVI[Junioren])</f>
        <v>8</v>
      </c>
      <c r="S39" s="128">
        <f>SUBTOTAL(109,GKVI[Aspiranten])</f>
        <v>8</v>
      </c>
      <c r="T39" s="128">
        <f>SUBTOTAL(109,GKVI[Aantal deelnemers])</f>
        <v>483</v>
      </c>
      <c r="U39" s="128">
        <f>SUBTOTAL(109,GKVI[Hiervan is aspirant])</f>
        <v>84</v>
      </c>
      <c r="V39" s="129"/>
      <c r="W39"/>
    </row>
  </sheetData>
  <mergeCells count="10">
    <mergeCell ref="K5:M5"/>
    <mergeCell ref="N5:P5"/>
    <mergeCell ref="Q5:S5"/>
    <mergeCell ref="A1:Y1"/>
    <mergeCell ref="A2:Y2"/>
    <mergeCell ref="K4:M4"/>
    <mergeCell ref="N4:P4"/>
    <mergeCell ref="Q4:S4"/>
    <mergeCell ref="F4:J4"/>
    <mergeCell ref="F5:J5"/>
  </mergeCells>
  <phoneticPr fontId="2" type="noConversion"/>
  <pageMargins left="0.25" right="0.25" top="0.75" bottom="0.75" header="0.3" footer="0.3"/>
  <pageSetup paperSize="9" scale="49"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9992-0072-43F1-83E6-036A14549315}">
  <dimension ref="A1:K26"/>
  <sheetViews>
    <sheetView zoomScale="110" zoomScaleNormal="110" workbookViewId="0">
      <selection activeCell="C7" sqref="C7"/>
    </sheetView>
  </sheetViews>
  <sheetFormatPr baseColWidth="10" defaultColWidth="8.83203125" defaultRowHeight="15" x14ac:dyDescent="0.2"/>
  <cols>
    <col min="1" max="1" width="8.33203125" bestFit="1" customWidth="1"/>
    <col min="2" max="2" width="9.1640625" bestFit="1" customWidth="1"/>
    <col min="3" max="3" width="58.83203125" bestFit="1" customWidth="1"/>
    <col min="4" max="4" width="13.1640625" style="1" bestFit="1" customWidth="1"/>
    <col min="5" max="5" width="18.83203125" style="1" bestFit="1" customWidth="1"/>
    <col min="6" max="6" width="13" style="1" bestFit="1" customWidth="1"/>
    <col min="7" max="7" width="14.6640625" bestFit="1" customWidth="1"/>
    <col min="8" max="8" width="23.6640625" bestFit="1" customWidth="1"/>
    <col min="9" max="9" width="13.33203125" bestFit="1" customWidth="1"/>
    <col min="10" max="11" width="15" bestFit="1" customWidth="1"/>
  </cols>
  <sheetData>
    <row r="1" spans="1:11" ht="24" x14ac:dyDescent="0.3">
      <c r="C1" s="172" t="s">
        <v>146</v>
      </c>
      <c r="D1" s="172"/>
      <c r="E1" s="172"/>
      <c r="F1" s="172"/>
      <c r="G1" s="172"/>
    </row>
    <row r="2" spans="1:11" ht="16" x14ac:dyDescent="0.2">
      <c r="C2" s="173" t="s">
        <v>147</v>
      </c>
      <c r="D2" s="173"/>
      <c r="E2" s="173"/>
      <c r="F2" s="173"/>
      <c r="G2" s="173"/>
    </row>
    <row r="3" spans="1:11" ht="16" x14ac:dyDescent="0.2">
      <c r="C3" s="48"/>
      <c r="D3" s="48"/>
      <c r="E3" s="48"/>
      <c r="F3" s="48"/>
      <c r="G3" s="48"/>
    </row>
    <row r="4" spans="1:11" ht="17" x14ac:dyDescent="0.2">
      <c r="A4" s="49"/>
      <c r="B4" s="49" t="s">
        <v>101</v>
      </c>
      <c r="C4" s="49"/>
      <c r="D4" s="50" t="s">
        <v>194</v>
      </c>
      <c r="E4" s="50" t="s">
        <v>195</v>
      </c>
      <c r="F4" s="50" t="s">
        <v>195</v>
      </c>
      <c r="G4" s="50" t="s">
        <v>195</v>
      </c>
      <c r="H4" s="49"/>
      <c r="I4" s="49"/>
      <c r="J4" s="81"/>
      <c r="K4" s="81"/>
    </row>
    <row r="5" spans="1:11" x14ac:dyDescent="0.2">
      <c r="A5" s="2" t="s">
        <v>102</v>
      </c>
      <c r="B5" s="2" t="s">
        <v>90</v>
      </c>
      <c r="C5" s="2" t="s">
        <v>19</v>
      </c>
      <c r="D5" s="5" t="s">
        <v>38</v>
      </c>
      <c r="E5" s="5" t="s">
        <v>111</v>
      </c>
      <c r="F5" s="5" t="s">
        <v>39</v>
      </c>
      <c r="G5" s="5" t="s">
        <v>40</v>
      </c>
      <c r="H5" s="2" t="s">
        <v>103</v>
      </c>
      <c r="I5" s="2" t="s">
        <v>51</v>
      </c>
      <c r="J5" s="2" t="s">
        <v>52</v>
      </c>
      <c r="K5" s="2" t="s">
        <v>108</v>
      </c>
    </row>
    <row r="6" spans="1:11" x14ac:dyDescent="0.2">
      <c r="A6" s="15" t="s">
        <v>152</v>
      </c>
      <c r="B6" s="15" t="s">
        <v>345</v>
      </c>
      <c r="C6" s="15" t="s">
        <v>346</v>
      </c>
      <c r="D6" s="16">
        <v>4</v>
      </c>
      <c r="E6" s="84"/>
      <c r="F6" s="16"/>
      <c r="G6" s="16"/>
      <c r="H6" s="15" t="s">
        <v>73</v>
      </c>
      <c r="I6" s="15" t="s">
        <v>347</v>
      </c>
      <c r="J6" s="59">
        <v>45656.486979166664</v>
      </c>
      <c r="K6" s="85">
        <v>45656.4453125</v>
      </c>
    </row>
    <row r="7" spans="1:11" x14ac:dyDescent="0.2">
      <c r="A7" s="15" t="s">
        <v>152</v>
      </c>
      <c r="B7" s="15" t="s">
        <v>329</v>
      </c>
      <c r="C7" s="15" t="s">
        <v>330</v>
      </c>
      <c r="D7" s="16">
        <v>4</v>
      </c>
      <c r="E7" s="84"/>
      <c r="F7" s="16"/>
      <c r="G7" s="16">
        <v>1</v>
      </c>
      <c r="H7" s="15" t="s">
        <v>73</v>
      </c>
      <c r="I7" s="15" t="s">
        <v>339</v>
      </c>
      <c r="J7" s="59">
        <v>45655.683819444443</v>
      </c>
      <c r="K7" s="85">
        <v>45655.656747685185</v>
      </c>
    </row>
    <row r="8" spans="1:11" x14ac:dyDescent="0.2">
      <c r="A8" s="15" t="s">
        <v>152</v>
      </c>
      <c r="B8" s="15" t="s">
        <v>326</v>
      </c>
      <c r="C8" s="15" t="s">
        <v>327</v>
      </c>
      <c r="D8" s="16">
        <v>2</v>
      </c>
      <c r="E8" s="84"/>
      <c r="F8" s="16"/>
      <c r="G8" s="16"/>
      <c r="H8" s="15" t="s">
        <v>73</v>
      </c>
      <c r="I8" s="15" t="s">
        <v>340</v>
      </c>
      <c r="J8" s="59">
        <v>45655.552615740744</v>
      </c>
      <c r="K8" s="85">
        <v>45655.510949074072</v>
      </c>
    </row>
    <row r="9" spans="1:11" x14ac:dyDescent="0.2">
      <c r="A9" s="15" t="s">
        <v>152</v>
      </c>
      <c r="B9" s="15" t="s">
        <v>323</v>
      </c>
      <c r="C9" s="15" t="s">
        <v>324</v>
      </c>
      <c r="D9" s="16">
        <v>2</v>
      </c>
      <c r="E9" s="84"/>
      <c r="F9" s="16"/>
      <c r="G9" s="16"/>
      <c r="H9" s="15" t="s">
        <v>73</v>
      </c>
      <c r="I9" s="15" t="s">
        <v>328</v>
      </c>
      <c r="J9" s="59">
        <v>45655.489212962966</v>
      </c>
      <c r="K9" s="85">
        <v>45655.447546296295</v>
      </c>
    </row>
    <row r="10" spans="1:11" x14ac:dyDescent="0.2">
      <c r="A10" s="15" t="s">
        <v>152</v>
      </c>
      <c r="B10" s="15" t="s">
        <v>318</v>
      </c>
      <c r="C10" s="15" t="s">
        <v>319</v>
      </c>
      <c r="D10" s="16">
        <v>3</v>
      </c>
      <c r="E10" s="84"/>
      <c r="F10" s="16"/>
      <c r="G10" s="16"/>
      <c r="H10" s="15" t="s">
        <v>73</v>
      </c>
      <c r="I10" s="15" t="s">
        <v>320</v>
      </c>
      <c r="J10" s="59">
        <v>45653.890081018515</v>
      </c>
      <c r="K10" s="85">
        <v>45653.848414351851</v>
      </c>
    </row>
    <row r="11" spans="1:11" x14ac:dyDescent="0.2">
      <c r="A11" s="15" t="s">
        <v>152</v>
      </c>
      <c r="B11" s="15" t="s">
        <v>314</v>
      </c>
      <c r="C11" s="15" t="s">
        <v>315</v>
      </c>
      <c r="D11" s="16">
        <v>4</v>
      </c>
      <c r="E11" s="84"/>
      <c r="F11" s="16"/>
      <c r="G11" s="16"/>
      <c r="H11" s="15" t="s">
        <v>73</v>
      </c>
      <c r="I11" s="15" t="s">
        <v>321</v>
      </c>
      <c r="J11" s="59">
        <v>45653.868344907409</v>
      </c>
      <c r="K11" s="85">
        <v>45653.826678240737</v>
      </c>
    </row>
    <row r="12" spans="1:11" x14ac:dyDescent="0.2">
      <c r="A12" s="15" t="s">
        <v>152</v>
      </c>
      <c r="B12" s="15" t="s">
        <v>309</v>
      </c>
      <c r="C12" s="15" t="s">
        <v>310</v>
      </c>
      <c r="D12" s="16">
        <v>2</v>
      </c>
      <c r="E12" s="84">
        <v>1</v>
      </c>
      <c r="F12" s="16">
        <v>1</v>
      </c>
      <c r="G12" s="16"/>
      <c r="H12" s="15" t="s">
        <v>73</v>
      </c>
      <c r="I12" s="15" t="s">
        <v>313</v>
      </c>
      <c r="J12" s="59">
        <v>45653.785717592589</v>
      </c>
      <c r="K12" s="85">
        <v>45653.744050925925</v>
      </c>
    </row>
    <row r="13" spans="1:11" x14ac:dyDescent="0.2">
      <c r="A13" s="15" t="s">
        <v>152</v>
      </c>
      <c r="B13" s="15" t="s">
        <v>288</v>
      </c>
      <c r="C13" s="15" t="s">
        <v>289</v>
      </c>
      <c r="D13" s="16">
        <v>8</v>
      </c>
      <c r="E13" s="84">
        <v>4</v>
      </c>
      <c r="F13" s="16"/>
      <c r="G13" s="16">
        <v>2</v>
      </c>
      <c r="H13" s="15" t="s">
        <v>73</v>
      </c>
      <c r="I13" s="15" t="s">
        <v>298</v>
      </c>
      <c r="J13" s="59">
        <v>45652.545613425929</v>
      </c>
      <c r="K13" s="85">
        <v>45652.503946759258</v>
      </c>
    </row>
    <row r="14" spans="1:11" x14ac:dyDescent="0.2">
      <c r="A14" s="15" t="s">
        <v>152</v>
      </c>
      <c r="B14" s="15" t="s">
        <v>278</v>
      </c>
      <c r="C14" s="15" t="s">
        <v>279</v>
      </c>
      <c r="D14" s="16">
        <v>3</v>
      </c>
      <c r="E14" s="84"/>
      <c r="F14" s="16"/>
      <c r="G14" s="16"/>
      <c r="H14" s="15" t="s">
        <v>73</v>
      </c>
      <c r="I14" s="15" t="s">
        <v>285</v>
      </c>
      <c r="J14" s="59">
        <v>45649.797476851854</v>
      </c>
      <c r="K14" s="85">
        <v>45649.755810185183</v>
      </c>
    </row>
    <row r="15" spans="1:11" x14ac:dyDescent="0.2">
      <c r="A15" s="15" t="s">
        <v>152</v>
      </c>
      <c r="B15" s="15" t="s">
        <v>271</v>
      </c>
      <c r="C15" s="15" t="s">
        <v>272</v>
      </c>
      <c r="D15" s="16">
        <v>5</v>
      </c>
      <c r="E15" s="84"/>
      <c r="F15" s="16"/>
      <c r="G15" s="16"/>
      <c r="H15" s="15" t="s">
        <v>73</v>
      </c>
      <c r="I15" s="15" t="s">
        <v>275</v>
      </c>
      <c r="J15" s="59">
        <v>45649.741562499999</v>
      </c>
      <c r="K15" s="85">
        <v>45649.699895833335</v>
      </c>
    </row>
    <row r="16" spans="1:11" x14ac:dyDescent="0.2">
      <c r="A16" s="15" t="s">
        <v>152</v>
      </c>
      <c r="B16" s="15" t="s">
        <v>269</v>
      </c>
      <c r="C16" s="15" t="s">
        <v>270</v>
      </c>
      <c r="D16" s="16">
        <v>5</v>
      </c>
      <c r="E16" s="84"/>
      <c r="F16" s="16">
        <v>2</v>
      </c>
      <c r="G16" s="16"/>
      <c r="H16" s="15" t="s">
        <v>73</v>
      </c>
      <c r="I16" s="15" t="s">
        <v>276</v>
      </c>
      <c r="J16" s="59">
        <v>45649.612858796296</v>
      </c>
      <c r="K16" s="85">
        <v>45649.571192129632</v>
      </c>
    </row>
    <row r="17" spans="1:11" x14ac:dyDescent="0.2">
      <c r="A17" s="15" t="s">
        <v>152</v>
      </c>
      <c r="B17" s="15" t="s">
        <v>185</v>
      </c>
      <c r="C17" s="15" t="s">
        <v>133</v>
      </c>
      <c r="D17" s="16">
        <v>2</v>
      </c>
      <c r="E17" s="84">
        <v>1</v>
      </c>
      <c r="F17" s="16"/>
      <c r="G17" s="16"/>
      <c r="H17" s="15" t="s">
        <v>73</v>
      </c>
      <c r="I17" s="15" t="s">
        <v>277</v>
      </c>
      <c r="J17" s="59">
        <v>45649.436307870368</v>
      </c>
      <c r="K17" s="85">
        <v>45655.580601851849</v>
      </c>
    </row>
    <row r="18" spans="1:11" x14ac:dyDescent="0.2">
      <c r="A18" s="15" t="s">
        <v>152</v>
      </c>
      <c r="B18" s="15" t="s">
        <v>262</v>
      </c>
      <c r="C18" s="15" t="s">
        <v>263</v>
      </c>
      <c r="D18" s="16">
        <v>10</v>
      </c>
      <c r="E18" s="84"/>
      <c r="F18" s="16">
        <v>1</v>
      </c>
      <c r="G18" s="16"/>
      <c r="H18" s="15" t="s">
        <v>73</v>
      </c>
      <c r="I18" s="15" t="s">
        <v>267</v>
      </c>
      <c r="J18" s="59">
        <v>45648.891724537039</v>
      </c>
      <c r="K18" s="85">
        <v>45648.850057870368</v>
      </c>
    </row>
    <row r="19" spans="1:11" x14ac:dyDescent="0.2">
      <c r="A19" s="15" t="s">
        <v>152</v>
      </c>
      <c r="B19" s="15" t="s">
        <v>244</v>
      </c>
      <c r="C19" s="15" t="s">
        <v>245</v>
      </c>
      <c r="D19" s="16">
        <v>3</v>
      </c>
      <c r="E19" s="84"/>
      <c r="F19" s="16"/>
      <c r="G19" s="16"/>
      <c r="H19" s="15" t="s">
        <v>73</v>
      </c>
      <c r="I19" s="15" t="s">
        <v>256</v>
      </c>
      <c r="J19" s="59">
        <v>45647.423356481479</v>
      </c>
      <c r="K19" s="85">
        <v>45647.381689814814</v>
      </c>
    </row>
    <row r="20" spans="1:11" x14ac:dyDescent="0.2">
      <c r="A20" s="15" t="s">
        <v>152</v>
      </c>
      <c r="B20" s="15" t="s">
        <v>231</v>
      </c>
      <c r="C20" s="15" t="s">
        <v>232</v>
      </c>
      <c r="D20" s="16">
        <v>5</v>
      </c>
      <c r="E20" s="84"/>
      <c r="F20" s="16"/>
      <c r="G20" s="16"/>
      <c r="H20" s="15" t="s">
        <v>73</v>
      </c>
      <c r="I20" s="15" t="s">
        <v>240</v>
      </c>
      <c r="J20" s="59">
        <v>45645.468182870369</v>
      </c>
      <c r="K20" s="85">
        <v>45645.426516203705</v>
      </c>
    </row>
    <row r="21" spans="1:11" x14ac:dyDescent="0.2">
      <c r="A21" s="15" t="s">
        <v>152</v>
      </c>
      <c r="B21" s="15" t="s">
        <v>228</v>
      </c>
      <c r="C21" s="15" t="s">
        <v>229</v>
      </c>
      <c r="D21" s="16">
        <v>5</v>
      </c>
      <c r="E21" s="84"/>
      <c r="F21" s="16"/>
      <c r="G21" s="16"/>
      <c r="H21" s="15" t="s">
        <v>73</v>
      </c>
      <c r="I21" s="15" t="s">
        <v>230</v>
      </c>
      <c r="J21" s="59">
        <v>45644.86383101852</v>
      </c>
      <c r="K21" s="85">
        <v>45644.822164351855</v>
      </c>
    </row>
    <row r="22" spans="1:11" x14ac:dyDescent="0.2">
      <c r="A22" s="15" t="s">
        <v>152</v>
      </c>
      <c r="B22" s="15" t="s">
        <v>186</v>
      </c>
      <c r="C22" s="15" t="s">
        <v>187</v>
      </c>
      <c r="D22" s="16">
        <v>5</v>
      </c>
      <c r="E22" s="84"/>
      <c r="F22" s="16"/>
      <c r="G22" s="16"/>
      <c r="H22" s="15" t="s">
        <v>73</v>
      </c>
      <c r="I22" s="15" t="s">
        <v>223</v>
      </c>
      <c r="J22" s="59">
        <v>45642.835046296299</v>
      </c>
      <c r="K22" s="85">
        <v>45642.793379629627</v>
      </c>
    </row>
    <row r="23" spans="1:11" x14ac:dyDescent="0.2">
      <c r="A23" s="15" t="s">
        <v>152</v>
      </c>
      <c r="B23" s="15" t="s">
        <v>200</v>
      </c>
      <c r="C23" s="15" t="s">
        <v>201</v>
      </c>
      <c r="D23" s="16">
        <v>6</v>
      </c>
      <c r="E23" s="84"/>
      <c r="F23" s="16"/>
      <c r="G23" s="16"/>
      <c r="H23" s="15" t="s">
        <v>73</v>
      </c>
      <c r="I23" s="15" t="s">
        <v>202</v>
      </c>
      <c r="J23" s="59">
        <v>45641.871018518519</v>
      </c>
      <c r="K23" s="85">
        <v>45641.829351851855</v>
      </c>
    </row>
    <row r="24" spans="1:11" x14ac:dyDescent="0.2">
      <c r="A24" s="15" t="s">
        <v>152</v>
      </c>
      <c r="B24" s="15" t="s">
        <v>153</v>
      </c>
      <c r="C24" s="15" t="s">
        <v>154</v>
      </c>
      <c r="D24" s="16">
        <v>5</v>
      </c>
      <c r="E24" s="84"/>
      <c r="F24" s="16"/>
      <c r="G24" s="16"/>
      <c r="H24" s="15" t="s">
        <v>73</v>
      </c>
      <c r="I24" s="15" t="s">
        <v>191</v>
      </c>
      <c r="J24" s="59">
        <v>45641.534641203703</v>
      </c>
      <c r="K24" s="85">
        <v>45641.492974537039</v>
      </c>
    </row>
    <row r="25" spans="1:11" x14ac:dyDescent="0.2">
      <c r="A25" s="15" t="s">
        <v>152</v>
      </c>
      <c r="B25" s="15" t="s">
        <v>172</v>
      </c>
      <c r="C25" s="15" t="s">
        <v>168</v>
      </c>
      <c r="D25" s="16">
        <v>11</v>
      </c>
      <c r="E25" s="84"/>
      <c r="F25" s="16"/>
      <c r="G25" s="16">
        <v>4</v>
      </c>
      <c r="H25" s="15" t="s">
        <v>73</v>
      </c>
      <c r="I25" s="15" t="s">
        <v>173</v>
      </c>
      <c r="J25" s="59">
        <v>45639.397199074076</v>
      </c>
      <c r="K25" s="85">
        <v>45639.355532407404</v>
      </c>
    </row>
    <row r="26" spans="1:11" x14ac:dyDescent="0.2">
      <c r="A26" s="15" t="s">
        <v>79</v>
      </c>
      <c r="B26" s="15"/>
      <c r="C26" s="15">
        <f>SUBTOTAL(103,Bielemantreffen_2[Naam vereniging])</f>
        <v>20</v>
      </c>
      <c r="D26" s="16">
        <f>SUBTOTAL(109,Bielemantreffen_2[Senioren])</f>
        <v>94</v>
      </c>
      <c r="E26" s="16">
        <f>SUBTOTAL(109,Bielemantreffen_2[Jong volwassene])</f>
        <v>6</v>
      </c>
      <c r="F26" s="16">
        <f>SUBTOTAL(109,Bielemantreffen_2[Junioren])</f>
        <v>4</v>
      </c>
      <c r="G26" s="16">
        <f>SUBTOTAL(109,Bielemantreffen_2[Aspiranten])</f>
        <v>7</v>
      </c>
      <c r="H26" s="15"/>
      <c r="I26" s="15"/>
      <c r="J26" s="15"/>
    </row>
  </sheetData>
  <mergeCells count="2">
    <mergeCell ref="C1:G1"/>
    <mergeCell ref="C2:G2"/>
  </mergeCells>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28E49110E16CA4CAD6807469259A23F" ma:contentTypeVersion="6" ma:contentTypeDescription="Een nieuw document maken." ma:contentTypeScope="" ma:versionID="503606b4f41f0a73a81736a59bde342f">
  <xsd:schema xmlns:xsd="http://www.w3.org/2001/XMLSchema" xmlns:xs="http://www.w3.org/2001/XMLSchema" xmlns:p="http://schemas.microsoft.com/office/2006/metadata/properties" xmlns:ns2="16868e8d-a882-449e-81d4-1ad0b5292899" xmlns:ns3="65ad308b-2083-401f-bfeb-b2b7430ea54a" targetNamespace="http://schemas.microsoft.com/office/2006/metadata/properties" ma:root="true" ma:fieldsID="ed7dc1ef7960956dcd4775d5e4f1f8d4" ns2:_="" ns3:_="">
    <xsd:import namespace="16868e8d-a882-449e-81d4-1ad0b5292899"/>
    <xsd:import namespace="65ad308b-2083-401f-bfeb-b2b7430ea5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68e8d-a882-449e-81d4-1ad0b5292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ad308b-2083-401f-bfeb-b2b7430ea54a"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5ad308b-2083-401f-bfeb-b2b7430ea54a">
      <UserInfo>
        <DisplayName>schietcommissie</DisplayName>
        <AccountId>29</AccountId>
        <AccountType/>
      </UserInfo>
      <UserInfo>
        <DisplayName>jurycollege</DisplayName>
        <AccountId>28</AccountId>
        <AccountType/>
      </UserInfo>
    </SharedWithUsers>
  </documentManagement>
</p:properties>
</file>

<file path=customXml/itemProps1.xml><?xml version="1.0" encoding="utf-8"?>
<ds:datastoreItem xmlns:ds="http://schemas.openxmlformats.org/officeDocument/2006/customXml" ds:itemID="{60A11DB6-8985-46B0-9B19-824420130A77}">
  <ds:schemaRefs>
    <ds:schemaRef ds:uri="http://schemas.microsoft.com/DataMashup"/>
  </ds:schemaRefs>
</ds:datastoreItem>
</file>

<file path=customXml/itemProps2.xml><?xml version="1.0" encoding="utf-8"?>
<ds:datastoreItem xmlns:ds="http://schemas.openxmlformats.org/officeDocument/2006/customXml" ds:itemID="{1E33B80B-A065-43C1-B140-E5F61ABCE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68e8d-a882-449e-81d4-1ad0b5292899"/>
    <ds:schemaRef ds:uri="65ad308b-2083-401f-bfeb-b2b7430ea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31949-6BE2-4996-A31A-B2AE19440964}">
  <ds:schemaRefs>
    <ds:schemaRef ds:uri="http://schemas.microsoft.com/sharepoint/v3/contenttype/forms"/>
  </ds:schemaRefs>
</ds:datastoreItem>
</file>

<file path=customXml/itemProps4.xml><?xml version="1.0" encoding="utf-8"?>
<ds:datastoreItem xmlns:ds="http://schemas.openxmlformats.org/officeDocument/2006/customXml" ds:itemID="{4C6B04D2-3A34-43D6-AE19-27D8B6662CDC}">
  <ds:schemaRefs>
    <ds:schemaRef ds:uri="http://schemas.openxmlformats.org/package/2006/metadata/core-properties"/>
    <ds:schemaRef ds:uri="http://purl.org/dc/elements/1.1/"/>
    <ds:schemaRef ds:uri="16868e8d-a882-449e-81d4-1ad0b5292899"/>
    <ds:schemaRef ds:uri="http://schemas.microsoft.com/office/2006/metadata/properties"/>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65ad308b-2083-401f-bfeb-b2b7430ea54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Kringdagen</vt:lpstr>
      <vt:lpstr>KDM</vt:lpstr>
      <vt:lpstr>KDL</vt:lpstr>
      <vt:lpstr>KDA</vt:lpstr>
      <vt:lpstr>KDRvNB</vt:lpstr>
      <vt:lpstr>LJ</vt:lpstr>
      <vt:lpstr>FSD</vt:lpstr>
      <vt:lpstr>GKVI</vt:lpstr>
      <vt:lpstr>BIEL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Tjebbe</dc:creator>
  <cp:keywords/>
  <dc:description/>
  <cp:lastModifiedBy>Tjebbe Kersten</cp:lastModifiedBy>
  <cp:revision/>
  <dcterms:created xsi:type="dcterms:W3CDTF">2021-08-01T11:23:23Z</dcterms:created>
  <dcterms:modified xsi:type="dcterms:W3CDTF">2025-01-04T21:24:16Z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0x010100628E49110E16CA4CAD6807469259A23F</vt:lpwstr>
  </property>
</Properties>
</file>