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https://schutternet.sharepoint.com/sites/itontwikkeling/Shared Documents/General/Inschrijvingen/2025/csv bestanden/"/>
    </mc:Choice>
  </mc:AlternateContent>
  <xr:revisionPtr revIDLastSave="5" documentId="8_{1981DC80-1FBA-C34A-B649-BB81BE7C73D3}" xr6:coauthVersionLast="47" xr6:coauthVersionMax="47" xr10:uidLastSave="{CFE29C65-52B2-154F-8090-084F0584B75A}"/>
  <bookViews>
    <workbookView xWindow="0" yWindow="780" windowWidth="34200" windowHeight="19940" xr2:uid="{03CD9580-A04D-4759-BAC1-CC6687E7BA10}"/>
  </bookViews>
  <sheets>
    <sheet name="Kringdagen" sheetId="7" r:id="rId1"/>
    <sheet name="KDM" sheetId="3" r:id="rId2"/>
    <sheet name="KDL" sheetId="4" r:id="rId3"/>
    <sheet name="KDA" sheetId="5" r:id="rId4"/>
    <sheet name="KDRvNB" sheetId="6" r:id="rId5"/>
    <sheet name="LJ" sheetId="11" state="hidden" r:id="rId6"/>
    <sheet name="FSD" sheetId="2" r:id="rId7"/>
    <sheet name="GKVI" sheetId="8" r:id="rId8"/>
    <sheet name="BIEL" sheetId="10" r:id="rId9"/>
  </sheets>
  <definedNames>
    <definedName name="ExternalData_1" localSheetId="6" hidden="1">FSD!$A$6:$BW$47</definedName>
    <definedName name="ExternalData_1" localSheetId="3" hidden="1">KDA!$A$6:$BX$31</definedName>
    <definedName name="ExternalData_1" localSheetId="2" hidden="1">KDL!$A$6:$BW$26</definedName>
    <definedName name="ExternalData_1" localSheetId="1" hidden="1">KDM!$A$7:$BW$20</definedName>
    <definedName name="ExternalData_1" localSheetId="4" hidden="1">KDRvNB!$A$6:$BW$20</definedName>
    <definedName name="ExternalData_1" localSheetId="0" hidden="1">Kringdagen!$A$6:$BY$117</definedName>
    <definedName name="ExterneGegevens_1" localSheetId="3" hidden="1">KDA!#REF!</definedName>
    <definedName name="ExterneGegevens_1" localSheetId="2" hidden="1">KDL!#REF!</definedName>
    <definedName name="ExterneGegevens_1" localSheetId="1" hidden="1">KDM!#REF!</definedName>
    <definedName name="ExterneGegevens_1" localSheetId="4" hidden="1">KDRvNB!#REF!</definedName>
    <definedName name="ExterneGegevens_1" localSheetId="0" hidden="1">Kringdagen!#REF!</definedName>
    <definedName name="ExterneGegevens_2" localSheetId="8" hidden="1">BIEL!$A$5:$K$25</definedName>
    <definedName name="ExterneGegevens_4" localSheetId="7" hidden="1">GKVI!$A$6:$W$38</definedName>
    <definedName name="ExterneGegevens_4" localSheetId="5" hidden="1">LJ!$A$6:$BW$7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4" l="1"/>
  <c r="D27" i="4"/>
  <c r="E27" i="4"/>
  <c r="F27" i="4"/>
  <c r="G27" i="4"/>
  <c r="H27" i="4"/>
  <c r="I27" i="4"/>
  <c r="J27" i="4"/>
  <c r="K27" i="4"/>
  <c r="L27" i="4"/>
  <c r="M27" i="4"/>
  <c r="N27" i="4"/>
  <c r="O27" i="4"/>
  <c r="P27" i="4"/>
  <c r="T27" i="4"/>
  <c r="U27" i="4"/>
  <c r="V27" i="4"/>
  <c r="W27" i="4"/>
  <c r="X27" i="4"/>
  <c r="Y27" i="4"/>
  <c r="Z27" i="4"/>
  <c r="AA27" i="4"/>
  <c r="AB27" i="4"/>
  <c r="AC27" i="4"/>
  <c r="AD27" i="4"/>
  <c r="AE27" i="4"/>
  <c r="AF27" i="4"/>
  <c r="AG27" i="4"/>
  <c r="AH27" i="4"/>
  <c r="AI27" i="4"/>
  <c r="AJ27" i="4"/>
  <c r="AK27" i="4"/>
  <c r="AL27" i="4"/>
  <c r="AM27" i="4"/>
  <c r="AN27" i="4"/>
  <c r="AO27" i="4"/>
  <c r="AP27" i="4"/>
  <c r="AQ27" i="4"/>
  <c r="AR27" i="4"/>
  <c r="AS27" i="4"/>
  <c r="AT27" i="4"/>
  <c r="AU27" i="4"/>
  <c r="AV27" i="4"/>
  <c r="AW27" i="4"/>
  <c r="AX27" i="4"/>
  <c r="AY27" i="4"/>
  <c r="AZ27" i="4"/>
  <c r="BW27" i="4"/>
  <c r="C21" i="3"/>
  <c r="D21" i="3"/>
  <c r="E21" i="3"/>
  <c r="F21" i="3"/>
  <c r="G21" i="3"/>
  <c r="H21" i="3"/>
  <c r="I21" i="3"/>
  <c r="J21" i="3"/>
  <c r="K21" i="3"/>
  <c r="L21" i="3"/>
  <c r="M21" i="3"/>
  <c r="N21" i="3"/>
  <c r="O21" i="3"/>
  <c r="P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AU21" i="3"/>
  <c r="AV21" i="3"/>
  <c r="AW21" i="3"/>
  <c r="AX21" i="3"/>
  <c r="AY21" i="3"/>
  <c r="AZ21" i="3"/>
  <c r="BW21" i="3"/>
  <c r="C32" i="5"/>
  <c r="D32" i="5"/>
  <c r="E32" i="5"/>
  <c r="F32" i="5"/>
  <c r="G32" i="5"/>
  <c r="H32" i="5"/>
  <c r="I32" i="5"/>
  <c r="J32" i="5"/>
  <c r="K32" i="5"/>
  <c r="L32" i="5"/>
  <c r="M32" i="5"/>
  <c r="N32" i="5"/>
  <c r="O32" i="5"/>
  <c r="P32" i="5"/>
  <c r="T32" i="5"/>
  <c r="U32" i="5"/>
  <c r="V32" i="5"/>
  <c r="W32" i="5"/>
  <c r="X32" i="5"/>
  <c r="Y32" i="5"/>
  <c r="Z32" i="5"/>
  <c r="AA32" i="5"/>
  <c r="AB32" i="5"/>
  <c r="AC32" i="5"/>
  <c r="AD32" i="5"/>
  <c r="AE32" i="5"/>
  <c r="AF32" i="5"/>
  <c r="AG32" i="5"/>
  <c r="AH32" i="5"/>
  <c r="AI32" i="5"/>
  <c r="AJ32" i="5"/>
  <c r="AK32" i="5"/>
  <c r="AL32" i="5"/>
  <c r="AM32" i="5"/>
  <c r="AN32" i="5"/>
  <c r="AO32" i="5"/>
  <c r="AP32" i="5"/>
  <c r="AQ32" i="5"/>
  <c r="AR32" i="5"/>
  <c r="AS32" i="5"/>
  <c r="AT32" i="5"/>
  <c r="AU32" i="5"/>
  <c r="AV32" i="5"/>
  <c r="AW32" i="5"/>
  <c r="AX32" i="5"/>
  <c r="AY32" i="5"/>
  <c r="AZ32" i="5"/>
  <c r="BW32" i="5"/>
  <c r="C48" i="2"/>
  <c r="D48" i="2"/>
  <c r="E48" i="2"/>
  <c r="F48" i="2"/>
  <c r="G48" i="2"/>
  <c r="H48" i="2"/>
  <c r="I48" i="2"/>
  <c r="J48" i="2"/>
  <c r="K48" i="2"/>
  <c r="L48" i="2"/>
  <c r="M48" i="2"/>
  <c r="N48" i="2"/>
  <c r="O48" i="2"/>
  <c r="P48" i="2"/>
  <c r="T48" i="2"/>
  <c r="U48" i="2"/>
  <c r="V48" i="2"/>
  <c r="W48" i="2"/>
  <c r="X48" i="2"/>
  <c r="Y48" i="2"/>
  <c r="Z48" i="2"/>
  <c r="AA48" i="2"/>
  <c r="AB48" i="2"/>
  <c r="AC48" i="2"/>
  <c r="AD48" i="2"/>
  <c r="AE48" i="2"/>
  <c r="AF48" i="2"/>
  <c r="AG48" i="2"/>
  <c r="AH48" i="2"/>
  <c r="AI48" i="2"/>
  <c r="AJ48" i="2"/>
  <c r="AK48" i="2"/>
  <c r="AL48" i="2"/>
  <c r="AM48" i="2"/>
  <c r="AN48" i="2"/>
  <c r="AO48" i="2"/>
  <c r="AP48" i="2"/>
  <c r="AQ48" i="2"/>
  <c r="AR48" i="2"/>
  <c r="AS48" i="2"/>
  <c r="AT48" i="2"/>
  <c r="AU48" i="2"/>
  <c r="AV48" i="2"/>
  <c r="AW48" i="2"/>
  <c r="AX48" i="2"/>
  <c r="AY48" i="2"/>
  <c r="AZ48" i="2"/>
  <c r="BW48" i="2"/>
  <c r="C21" i="6"/>
  <c r="D21" i="6"/>
  <c r="E21" i="6"/>
  <c r="F21" i="6"/>
  <c r="G21" i="6"/>
  <c r="H21" i="6"/>
  <c r="I21" i="6"/>
  <c r="J21" i="6"/>
  <c r="K21" i="6"/>
  <c r="L21" i="6"/>
  <c r="M21" i="6"/>
  <c r="N21" i="6"/>
  <c r="O21" i="6"/>
  <c r="P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W21" i="6"/>
  <c r="C26" i="10"/>
  <c r="D26" i="10"/>
  <c r="E26" i="10"/>
  <c r="F26" i="10"/>
  <c r="G26" i="10"/>
  <c r="C39" i="8"/>
  <c r="F39" i="8"/>
  <c r="G39" i="8"/>
  <c r="H39" i="8"/>
  <c r="I39" i="8"/>
  <c r="J39" i="8"/>
  <c r="K39" i="8"/>
  <c r="L39" i="8"/>
  <c r="M39" i="8"/>
  <c r="O39" i="8"/>
  <c r="P39" i="8"/>
  <c r="Q39" i="8"/>
  <c r="R39" i="8"/>
  <c r="S39" i="8"/>
  <c r="T39" i="8"/>
  <c r="U39" i="8"/>
  <c r="C118" i="7"/>
  <c r="D118" i="7"/>
  <c r="E118" i="7"/>
  <c r="F118" i="7"/>
  <c r="G118" i="7"/>
  <c r="H118" i="7"/>
  <c r="I118" i="7"/>
  <c r="J118" i="7"/>
  <c r="K118" i="7"/>
  <c r="L118" i="7"/>
  <c r="M118" i="7"/>
  <c r="N118" i="7"/>
  <c r="O118" i="7"/>
  <c r="P118" i="7"/>
  <c r="R118" i="7"/>
  <c r="S118" i="7"/>
  <c r="T118" i="7"/>
  <c r="U118" i="7"/>
  <c r="V118" i="7"/>
  <c r="W118" i="7"/>
  <c r="X118" i="7"/>
  <c r="Y118" i="7"/>
  <c r="Z118" i="7"/>
  <c r="AA118" i="7"/>
  <c r="AB118" i="7"/>
  <c r="AC118" i="7"/>
  <c r="AD118" i="7"/>
  <c r="AE118" i="7"/>
  <c r="AF118" i="7"/>
  <c r="AG118" i="7"/>
  <c r="AH118" i="7"/>
  <c r="AI118" i="7"/>
  <c r="AJ118" i="7"/>
  <c r="AK118" i="7"/>
  <c r="AL118" i="7"/>
  <c r="AM118" i="7"/>
  <c r="AN118" i="7"/>
  <c r="AO118" i="7"/>
  <c r="AP118" i="7"/>
  <c r="AQ118" i="7"/>
  <c r="AR118" i="7"/>
  <c r="AS118" i="7"/>
  <c r="AT118" i="7"/>
  <c r="AU118" i="7"/>
  <c r="AV118" i="7"/>
  <c r="AW118" i="7"/>
  <c r="AX118" i="7"/>
  <c r="AY118" i="7"/>
  <c r="AZ118" i="7"/>
  <c r="BW118" i="7"/>
  <c r="AM8" i="11" l="1"/>
  <c r="CG8" i="11" l="1"/>
  <c r="AO8" i="11"/>
  <c r="AN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25862AB-1258-427D-8EA5-40A8709440DB}" keepAlive="1" name="Query - Bestand transformeren" description="Verbinding maken met de query Bestand transformeren in de werkmap." type="5" refreshedVersion="0" background="1">
    <dbPr connection="Provider=Microsoft.Mashup.OleDb.1;Data Source=$Workbook$;Location=&quot;Bestand transformeren&quot;;Extended Properties=&quot;&quot;" command="SELECT * FROM [Bestand transformeren]"/>
  </connection>
  <connection id="2" xr16:uid="{24C01A1E-D826-4112-9955-886819B151F5}" keepAlive="1" name="Query - Bestand transformeren (2)" description="Verbinding maken met de query Bestand transformeren (2) in de werkmap." type="5" refreshedVersion="0" background="1">
    <dbPr connection="Provider=Microsoft.Mashup.OleDb.1;Data Source=$Workbook$;Location=&quot;Bestand transformeren (2)&quot;;Extended Properties=&quot;&quot;" command="SELECT * FROM [Bestand transformeren (2)]"/>
  </connection>
  <connection id="3" xr16:uid="{3B6A0310-664C-4E64-A3B7-25F3E681196D}" keepAlive="1" name="Query - Bielemantreffen" description="Verbinding maken met de query Bielemantreffen in de werkmap." type="5" refreshedVersion="8" background="1" saveData="1">
    <dbPr connection="Provider=Microsoft.Mashup.OleDb.1;Data Source=$Workbook$;Location=Bielemantreffen;Extended Properties=&quot;&quot;" command="SELECT * FROM [Bielemantreffen]"/>
  </connection>
  <connection id="4" xr16:uid="{69259F06-DFDE-422F-B22F-34F5B8BA4F3C}" keepAlive="1" name="Query - FSD" description="Verbinding maken met de query FSD in de werkmap." type="5" refreshedVersion="8" background="1" saveData="1">
    <dbPr connection="Provider=Microsoft.Mashup.OleDb.1;Data Source=$Workbook$;Location=FSD;Extended Properties=&quot;&quot;" command="SELECT * FROM [FSD]"/>
  </connection>
  <connection id="5" xr16:uid="{29BD84AE-8F27-4908-A83C-7ED73E12DBA2}" keepAlive="1" name="Query - GKVI" description="Verbinding maken met de query GKVI in de werkmap." type="5" refreshedVersion="8" background="1" saveData="1">
    <dbPr connection="Provider=Microsoft.Mashup.OleDb.1;Data Source=$Workbook$;Location=GKVI;Extended Properties=&quot;&quot;" command="SELECT * FROM [GKVI]"/>
  </connection>
  <connection id="6" xr16:uid="{1625A445-E30E-4F48-A0F2-6C74EC2051F0}" keepAlive="1" name="Query - KDA" description="Verbinding maken met de query KDA in de werkmap." type="5" refreshedVersion="8" background="1" saveData="1">
    <dbPr connection="Provider=Microsoft.Mashup.OleDb.1;Data Source=$Workbook$;Location=KDA;Extended Properties=&quot;&quot;" command="SELECT * FROM [KDA]"/>
  </connection>
  <connection id="7" xr16:uid="{95A0D4BA-BB95-4202-94CF-7EEF29081440}" keepAlive="1" name="Query - KDL" description="Verbinding maken met de query KDL in de werkmap." type="5" refreshedVersion="8" background="1" saveData="1">
    <dbPr connection="Provider=Microsoft.Mashup.OleDb.1;Data Source=$Workbook$;Location=KDL;Extended Properties=&quot;&quot;" command="SELECT * FROM [KDL]"/>
  </connection>
  <connection id="8" xr16:uid="{6ECB9EB1-D1B9-490B-9D4B-7E83A861BE9B}" keepAlive="1" name="Query - KDM" description="Verbinding maken met de query KDM in de werkmap." type="5" refreshedVersion="8" background="1" saveData="1">
    <dbPr connection="Provider=Microsoft.Mashup.OleDb.1;Data Source=$Workbook$;Location=KDM;Extended Properties=&quot;&quot;" command="SELECT * FROM [KDM]"/>
  </connection>
  <connection id="9" xr16:uid="{1E5A8A6C-BF60-4AB0-BB7E-7F5846BE3EBD}" keepAlive="1" name="Query - KDRvNB" description="Verbinding maken met de query KDRvNB in de werkmap." type="5" refreshedVersion="8" background="1" saveData="1">
    <dbPr connection="Provider=Microsoft.Mashup.OleDb.1;Data Source=$Workbook$;Location=KDRvNB;Extended Properties=&quot;&quot;" command="SELECT * FROM [KDRvNB]"/>
  </connection>
  <connection id="10" xr16:uid="{CC620F3C-D390-418D-B8F5-4017A3B4A9F8}" keepAlive="1" name="Query - Kringdagen" description="Verbinding maken met de query Kringdagen in de werkmap." type="5" refreshedVersion="8" background="1" saveData="1">
    <dbPr connection="Provider=Microsoft.Mashup.OleDb.1;Data Source=$Workbook$;Location=Kringdagen;Extended Properties=&quot;&quot;" command="SELECT * FROM [Kringdagen]"/>
  </connection>
  <connection id="11" xr16:uid="{BC7C330E-ABF7-4BA8-A950-714863517EFF}" keepAlive="1" name="Query - LJ" description="Verbinding maken met de query LJ in de werkmap." type="5" refreshedVersion="8" background="1" saveData="1">
    <dbPr connection="Provider=Microsoft.Mashup.OleDb.1;Data Source=$Workbook$;Location=LJ;Extended Properties=&quot;&quot;" command="SELECT * FROM [LJ]"/>
  </connection>
  <connection id="12" xr16:uid="{9EB2A673-6133-4718-B17C-8DCFF9F6E361}" keepAlive="1" name="Query - Parameter1" description="Verbinding maken met de query Parameter1 in de werkmap." type="5" refreshedVersion="0" background="1">
    <dbPr connection="Provider=Microsoft.Mashup.OleDb.1;Data Source=$Workbook$;Location=Parameter1;Extended Properties=&quot;&quot;" command="SELECT * FROM [Parameter1]"/>
  </connection>
  <connection id="13" xr16:uid="{57415776-99A3-48CA-9AEB-5FAD9B307722}" keepAlive="1" name="Query - Parameter2" description="Verbinding maken met de query Parameter2 in de werkmap." type="5" refreshedVersion="0" background="1">
    <dbPr connection="Provider=Microsoft.Mashup.OleDb.1;Data Source=$Workbook$;Location=Parameter2;Extended Properties=&quot;&quot;" command="SELECT * FROM [Parameter2]"/>
  </connection>
  <connection id="14" xr16:uid="{14C00971-510E-4456-892D-616488EC8613}" keepAlive="1" name="Query - Voorbeeldbestand" description="Verbinding maken met de query Voorbeeldbestand in de werkmap." type="5" refreshedVersion="0" background="1">
    <dbPr connection="Provider=Microsoft.Mashup.OleDb.1;Data Source=$Workbook$;Location=Voorbeeldbestand;Extended Properties=&quot;&quot;" command="SELECT * FROM [Voorbeeldbestand]"/>
  </connection>
  <connection id="15" xr16:uid="{8850FBBF-3AFD-4368-8D31-E26F6D73CB6B}" keepAlive="1" name="Query - Voorbeeldbestand (2)" description="Verbinding maken met de query Voorbeeldbestand (2) in de werkmap." type="5" refreshedVersion="0" background="1">
    <dbPr connection="Provider=Microsoft.Mashup.OleDb.1;Data Source=$Workbook$;Location=&quot;Voorbeeldbestand (2)&quot;;Extended Properties=&quot;&quot;" command="SELECT * FROM [Voorbeeldbestand (2)]"/>
  </connection>
  <connection id="16" xr16:uid="{3E11B3C3-C94A-4FD2-871D-FF7D335D35BB}" keepAlive="1" name="Query - Voorbeeldbestand transformeren" description="Verbinding maken met de query Voorbeeldbestand transformeren in de werkmap." type="5" refreshedVersion="0" background="1">
    <dbPr connection="Provider=Microsoft.Mashup.OleDb.1;Data Source=$Workbook$;Location=&quot;Voorbeeldbestand transformeren&quot;;Extended Properties=&quot;&quot;" command="SELECT * FROM [Voorbeeldbestand transformeren]"/>
  </connection>
  <connection id="17" xr16:uid="{86331CA9-DD4F-4B74-AFC1-DF8CE4168860}" keepAlive="1" name="Query - Voorbeeldbestand transformeren (2)" description="Verbinding maken met de query Voorbeeldbestand transformeren (2) in de werkmap." type="5" refreshedVersion="0" background="1">
    <dbPr connection="Provider=Microsoft.Mashup.OleDb.1;Data Source=$Workbook$;Location=&quot;Voorbeeldbestand transformeren (2)&quot;;Extended Properties=&quot;&quot;" command="SELECT * FROM [Voorbeeldbestand transformeren (2)]"/>
  </connection>
</connections>
</file>

<file path=xl/sharedStrings.xml><?xml version="1.0" encoding="utf-8"?>
<sst xmlns="http://schemas.openxmlformats.org/spreadsheetml/2006/main" count="9378" uniqueCount="404">
  <si>
    <t>,</t>
  </si>
  <si>
    <t>Start</t>
  </si>
  <si>
    <t>Vendelen</t>
  </si>
  <si>
    <t>Muziek</t>
  </si>
  <si>
    <t>Maj.</t>
  </si>
  <si>
    <t>Bielemannen</t>
  </si>
  <si>
    <t>Mark.</t>
  </si>
  <si>
    <t>Schieten</t>
  </si>
  <si>
    <t>Overige gegevens</t>
  </si>
  <si>
    <t>Details muziek</t>
  </si>
  <si>
    <t>Details majorette</t>
  </si>
  <si>
    <t>Klassiek</t>
  </si>
  <si>
    <t>Acrobatish</t>
  </si>
  <si>
    <t>Show</t>
  </si>
  <si>
    <t>Individueel</t>
  </si>
  <si>
    <t>Hoofdkorps</t>
  </si>
  <si>
    <t>2e korps</t>
  </si>
  <si>
    <t>Kringdag</t>
  </si>
  <si>
    <t>Ver.nr</t>
  </si>
  <si>
    <t>Naam vereniging</t>
  </si>
  <si>
    <t>Delegatie</t>
  </si>
  <si>
    <t>Muziekkorps bij mars en defilé</t>
  </si>
  <si>
    <t>Deeln. jeugdkoningschieten</t>
  </si>
  <si>
    <t>Maj. Senioren jureren bij mars</t>
  </si>
  <si>
    <t>Maj. Jeugd jureren bij mars</t>
  </si>
  <si>
    <t>Korps senioren</t>
  </si>
  <si>
    <t>Acrobatisch senioren</t>
  </si>
  <si>
    <t>Acrobatisch junioren</t>
  </si>
  <si>
    <t>Acrobatisch aspiranten</t>
  </si>
  <si>
    <t>Show senioren</t>
  </si>
  <si>
    <t>Show junioren</t>
  </si>
  <si>
    <t>Show aspiranten</t>
  </si>
  <si>
    <t>Senioren indiv.</t>
  </si>
  <si>
    <t>Junioren indiv.</t>
  </si>
  <si>
    <t>Aspiranten indiv.</t>
  </si>
  <si>
    <t>Sen. ind opgegeven namen</t>
  </si>
  <si>
    <t>Jun. ind opgegeven namen</t>
  </si>
  <si>
    <t>Asp. ind opgegeven namen</t>
  </si>
  <si>
    <t>Senioren</t>
  </si>
  <si>
    <t>Junioren</t>
  </si>
  <si>
    <t>Aspiranten</t>
  </si>
  <si>
    <t>Marketentsters</t>
  </si>
  <si>
    <t>Luchtgeweer</t>
  </si>
  <si>
    <t>Luchtpistool</t>
  </si>
  <si>
    <t>Kruisboog</t>
  </si>
  <si>
    <t>Handboog</t>
  </si>
  <si>
    <t>Totaal aantal deelnemers</t>
  </si>
  <si>
    <t>Waarvan aantal jeugd (t/m 15 jaar)</t>
  </si>
  <si>
    <t>Kanon etc.</t>
  </si>
  <si>
    <t>Paarden en/of koetsen</t>
  </si>
  <si>
    <t>Toelichting/opmerkingen</t>
  </si>
  <si>
    <t>Inzending-ID</t>
  </si>
  <si>
    <t>Inzenddatum</t>
  </si>
  <si>
    <t>Naam van het hoofdkorps</t>
  </si>
  <si>
    <t>Zal op treden als (hoofdkorps)</t>
  </si>
  <si>
    <t>Vorm van twee muziekwerken (hoofdkorps)</t>
  </si>
  <si>
    <t>Zal uitkomen in de: (hoofdkorps)</t>
  </si>
  <si>
    <t>Muziekwerk1 (hoofdkorps)</t>
  </si>
  <si>
    <t>Muziekwerk2 (hoofdkorps)</t>
  </si>
  <si>
    <t>Korps bestaat uit ... deelnemers (hoofdkorps)</t>
  </si>
  <si>
    <t>Naam van het 2e korps</t>
  </si>
  <si>
    <t>Zal op treden als (2e korps)</t>
  </si>
  <si>
    <t>Vorm van twee muziekwerken (2e korps)</t>
  </si>
  <si>
    <t>Zal uitkomen in de: (2e korps)</t>
  </si>
  <si>
    <t>Muziekwerk1 (2e korps)</t>
  </si>
  <si>
    <t>Muziekwerk2 (2e korps)</t>
  </si>
  <si>
    <t>Korps bestaat uit ... deelnemers (2e korps)</t>
  </si>
  <si>
    <t>Onderdelen</t>
  </si>
  <si>
    <t>Secties</t>
  </si>
  <si>
    <t>Leeftijdscategorie</t>
  </si>
  <si>
    <t>Mechanische muziek</t>
  </si>
  <si>
    <t>Aantal opgegeven majorettes</t>
  </si>
  <si>
    <t>x</t>
  </si>
  <si>
    <t/>
  </si>
  <si>
    <t xml:space="preserve"> x</t>
  </si>
  <si>
    <t>Ja</t>
  </si>
  <si>
    <t>Twee stilstaande werken</t>
  </si>
  <si>
    <t>Superieure B (KNMO: tweede divisie)</t>
  </si>
  <si>
    <t>Korps</t>
  </si>
  <si>
    <t>Totaal</t>
  </si>
  <si>
    <t>Kringdag Montferland</t>
  </si>
  <si>
    <t>Kringdag de Liemers</t>
  </si>
  <si>
    <t>Kringdag de Achterhoek</t>
  </si>
  <si>
    <t>Kringdag Rijk van Nijmegen/de Betuwe</t>
  </si>
  <si>
    <t>Landjuweel</t>
  </si>
  <si>
    <t>12 juni 2022, E.M.M. Giesbeek</t>
  </si>
  <si>
    <t>Federatieve schuttersdag</t>
  </si>
  <si>
    <t>Vendelen korps</t>
  </si>
  <si>
    <t>Acrobatisch</t>
  </si>
  <si>
    <t>GKVI</t>
  </si>
  <si>
    <t>Ver.nr.</t>
  </si>
  <si>
    <t>Korps klassiek senioren</t>
  </si>
  <si>
    <t>Korps acrob. senioren</t>
  </si>
  <si>
    <t>Korps acrob. junioren</t>
  </si>
  <si>
    <t>Korps acrob. aspiranten</t>
  </si>
  <si>
    <t>Korps show senioren</t>
  </si>
  <si>
    <t>Korps show junioren</t>
  </si>
  <si>
    <t>Korps show aspiranten</t>
  </si>
  <si>
    <t>Opmerkingen</t>
  </si>
  <si>
    <t>Aantal deelnemers</t>
  </si>
  <si>
    <t>Hiervan is aspirant</t>
  </si>
  <si>
    <t>Aantal ver.</t>
  </si>
  <si>
    <t>BIEL</t>
  </si>
  <si>
    <t>Opmerkingen/toelichting</t>
  </si>
  <si>
    <t>Korps 1 klassiek junioren</t>
  </si>
  <si>
    <t>Korps 2 klassiek junioren</t>
  </si>
  <si>
    <t>Korps 1 klassiek aspiranten</t>
  </si>
  <si>
    <t>Korps 2 klassiek aspiranten</t>
  </si>
  <si>
    <t>Date Updated</t>
  </si>
  <si>
    <t>test vereniging</t>
  </si>
  <si>
    <t>Groepen, teams, ensembles en duo's</t>
  </si>
  <si>
    <t>Jong volwassene</t>
  </si>
  <si>
    <t>Opgegeven senioren</t>
  </si>
  <si>
    <t>Opgegeven jong volwassene</t>
  </si>
  <si>
    <t>Opgegeven junioren</t>
  </si>
  <si>
    <t>Opgegeven aspiranten</t>
  </si>
  <si>
    <t>Luchtgeweer jeugd niet ouder dan 17 jaar.</t>
  </si>
  <si>
    <t>Aantal korpsen</t>
  </si>
  <si>
    <t>Opgegeven jeugdkorpsen LG</t>
  </si>
  <si>
    <t>TEST</t>
  </si>
  <si>
    <t>Werk1</t>
  </si>
  <si>
    <t>werk2</t>
  </si>
  <si>
    <t>Aantal luchtgeweerschutters</t>
  </si>
  <si>
    <t>Aantal luchtpistoolschutters</t>
  </si>
  <si>
    <t>Aantal handboogschutters</t>
  </si>
  <si>
    <t>Aantal kruisboogschutters</t>
  </si>
  <si>
    <t>Junioren korps 1</t>
  </si>
  <si>
    <t>Junioren korps 2</t>
  </si>
  <si>
    <t>Aspiranten korps 1</t>
  </si>
  <si>
    <t>Aspiranten korps 2</t>
  </si>
  <si>
    <t>Schuttersgilde E.M.M. Lobith</t>
  </si>
  <si>
    <t>Ik kan geen namen invullen van personen die meedoen met het schieten (luchtgeweer en luchtpistool)
De vorige keer is dit ook al misgegaan en konden we niet mee schieten.</t>
  </si>
  <si>
    <t>Haaksbergsche Schutterij Haaksbergen</t>
  </si>
  <si>
    <t>Schutterij Wilhelmina Azewijn</t>
  </si>
  <si>
    <t>KDL2025</t>
  </si>
  <si>
    <t>KDA2025</t>
  </si>
  <si>
    <t>KDRVNB2025</t>
  </si>
  <si>
    <t>Gilde St. Salvator Mundi Nederasselt</t>
  </si>
  <si>
    <t>FSD2025</t>
  </si>
  <si>
    <t>25 mei 2025, Eensgezindheid Aerdt</t>
  </si>
  <si>
    <t>13 april 2025, De Eendracht Didam</t>
  </si>
  <si>
    <t>18 mei 2025, Schutterij De Eendracht Ulft</t>
  </si>
  <si>
    <t>22 juni 2025, St. Salvator Mundi Nederasselt</t>
  </si>
  <si>
    <t>21 september 2025, St. Isidorus Oud Dijk</t>
  </si>
  <si>
    <t>Gelders Kampioenschap Vendelen Indoor 30-3-2025</t>
  </si>
  <si>
    <t>De Eendracht Wehl</t>
  </si>
  <si>
    <t>Bielemantreffen 2025</t>
  </si>
  <si>
    <t>Zondag 26 oktober 2025, E.M.M. Giesbeek</t>
  </si>
  <si>
    <t>Het Gilde St. Oswaldus Stokkum</t>
  </si>
  <si>
    <t>Schuttersvereniging St. Antonius Lengel</t>
  </si>
  <si>
    <t>R.K. Schutterij St. Hubertus Groesbeek</t>
  </si>
  <si>
    <t>GKVI2025</t>
  </si>
  <si>
    <t>BIEL2025</t>
  </si>
  <si>
    <t>3004</t>
  </si>
  <si>
    <t>Schutterij St. Isidorus Oud-Dijk</t>
  </si>
  <si>
    <t>De Schanskloppers Lievelde</t>
  </si>
  <si>
    <t>Naar alle waarschijnlijkheid nemen wij deel met 2 tamboers of 1 persoon die de tamboerijn vast heeft. Dit ligt aan de bezetting. Nu nog onduidelijk. 
Commandant is afwezig tijdens concours ivm zwangerschapsverlof dus we zullen naar alle waarschijnlijkheid deelnemen zonder commandant.</t>
  </si>
  <si>
    <t>St. Damianus Gilde Niftrik</t>
  </si>
  <si>
    <t>Koning  St. Damianus  Joop Eichelsheim zal met het kringschieten meedoen.</t>
  </si>
  <si>
    <t>Schuttersgilde St. Sebastianus Gendt</t>
  </si>
  <si>
    <t>Wij doen wel mee met mars en defilé, maar buiten mededinging!
Bij de muziekwedstrijd hoeven we géén jurybeoordeling. We willen graag de show ergens aan publiek presenteren</t>
  </si>
  <si>
    <t>Showoptreden</t>
  </si>
  <si>
    <t>Superieure A (KNMO: eerste divisie)</t>
  </si>
  <si>
    <t>Gildeshow</t>
  </si>
  <si>
    <t>Drumband Schanskloppers Lievelde</t>
  </si>
  <si>
    <t>Naar alle waarschijnlijkheid nemen wij deel met 2 tamboers of 1 persoon die de tamboerijn vast heeft. Dit ligt aan de bezetting. Nu nog onduidelijk.</t>
  </si>
  <si>
    <t>Jong St. Sebastianus</t>
  </si>
  <si>
    <t>KDM2025</t>
  </si>
  <si>
    <t>Schutterij St. Jan Kilder</t>
  </si>
  <si>
    <t>Nee</t>
  </si>
  <si>
    <t>Jong St. Sebastianus Gendt</t>
  </si>
  <si>
    <t>Disney</t>
  </si>
  <si>
    <t>3010</t>
  </si>
  <si>
    <t>1833</t>
  </si>
  <si>
    <t>2014</t>
  </si>
  <si>
    <t>4023</t>
  </si>
  <si>
    <t>4009</t>
  </si>
  <si>
    <t>4008</t>
  </si>
  <si>
    <t>4027</t>
  </si>
  <si>
    <t>1014a</t>
  </si>
  <si>
    <t>1010</t>
  </si>
  <si>
    <t>1014</t>
  </si>
  <si>
    <t>1002</t>
  </si>
  <si>
    <t>1011</t>
  </si>
  <si>
    <t>1099</t>
  </si>
  <si>
    <t>4010</t>
  </si>
  <si>
    <t>3003</t>
  </si>
  <si>
    <t>Schutterij Wilhelmina Didam</t>
  </si>
  <si>
    <t>Duo1,Ensemble1,Ensemble2,Team1</t>
  </si>
  <si>
    <t>Sectie A,Sectie A,Sectie A,Sectie A</t>
  </si>
  <si>
    <t>Jeugd1,Senior,Senior,Senior</t>
  </si>
  <si>
    <t>1839</t>
  </si>
  <si>
    <t>2012</t>
  </si>
  <si>
    <t>Schutterij Willem Tell Loo</t>
  </si>
  <si>
    <t>aantal</t>
  </si>
  <si>
    <t xml:space="preserve">aantal </t>
  </si>
  <si>
    <t>Groep1</t>
  </si>
  <si>
    <t>Sectie A</t>
  </si>
  <si>
    <t>Jeugd1</t>
  </si>
  <si>
    <t>Senior</t>
  </si>
  <si>
    <t>1005</t>
  </si>
  <si>
    <t>Schuttersgenootschap Orde Eendracht Vreugde Millingen a/d Rijn</t>
  </si>
  <si>
    <t>1841</t>
  </si>
  <si>
    <t>3007</t>
  </si>
  <si>
    <t>R.K. Schutterij de Heegh Didam</t>
  </si>
  <si>
    <t>2004</t>
  </si>
  <si>
    <t>Schutterij Eendracht Maakt Macht Ooy-Zevenaar</t>
  </si>
  <si>
    <t>4014</t>
  </si>
  <si>
    <t>2007</t>
  </si>
  <si>
    <t>Schuttersgilde Vrede en Vriendschap Herwen</t>
  </si>
  <si>
    <t>1013</t>
  </si>
  <si>
    <t>Schuttersgilde St. Bavo Angeren</t>
  </si>
  <si>
    <t>4020</t>
  </si>
  <si>
    <t>Schuttersgilde Wals Wieken Milt Gendringen</t>
  </si>
  <si>
    <t>Dit concours organiseren we zelf. We willen de mars- en defiléwedstrijden zelf openen, maar willen niet gejureerd worden.</t>
  </si>
  <si>
    <t>Een marcherend en een stilstaand werk</t>
  </si>
  <si>
    <t>Ere-afdeling (KNMO: derde divisie)</t>
  </si>
  <si>
    <t>Street Swingers</t>
  </si>
  <si>
    <t>The Young Generation</t>
  </si>
  <si>
    <t>Drumfanfare St. Bavo Angeren</t>
  </si>
  <si>
    <t>Arnhem</t>
  </si>
  <si>
    <t>Bavomars</t>
  </si>
  <si>
    <t>Bij voorkeur 's-ochtends indelen</t>
  </si>
  <si>
    <t>1852</t>
  </si>
  <si>
    <t>2008</t>
  </si>
  <si>
    <t>Schuttersgilde Excelsior Lobith</t>
  </si>
  <si>
    <t>1007</t>
  </si>
  <si>
    <t>Schutterij Eendracht Ooij</t>
  </si>
  <si>
    <t>4016</t>
  </si>
  <si>
    <t>Onze Lieve Vrouwe Gilde Varsselder-Veldhunten</t>
  </si>
  <si>
    <t>1868</t>
  </si>
  <si>
    <t>3008</t>
  </si>
  <si>
    <t>Schutterij de Eendracht Nieuw-Wehl</t>
  </si>
  <si>
    <t>De Marketentsters komen ook mee. Zijn daar wedstrijden voor?</t>
  </si>
  <si>
    <t>2013</t>
  </si>
  <si>
    <t>Schutterij Eendracht Maakt Macht Giesbeek</t>
  </si>
  <si>
    <t>Schutterij "De Eendracht" Ulft</t>
  </si>
  <si>
    <t>4024</t>
  </si>
  <si>
    <t>Schuttersgilde St. Jan Keijenborg</t>
  </si>
  <si>
    <t>Veel succes met de organisatie!</t>
  </si>
  <si>
    <t>1873</t>
  </si>
  <si>
    <t>4017</t>
  </si>
  <si>
    <t>Schutterij De Eendracht Etten</t>
  </si>
  <si>
    <t>Hoi Tjebbe, ik zie dat je de jeudgleden qua schieten nog niet de namen kunt invullen? Die gaat nog wel gebeuren voor het concours?
Puur even als opmerking voor nu.
Majorettes doen wij wel mee aan de wedstrijden, deze vul ik voor 31 december nog in.</t>
  </si>
  <si>
    <t>4015</t>
  </si>
  <si>
    <t>Schuttersgilde St. Hubertus Ulft</t>
  </si>
  <si>
    <t>n.t.b.</t>
  </si>
  <si>
    <t>4019</t>
  </si>
  <si>
    <t>Schutterij St. Martinus Megchelen</t>
  </si>
  <si>
    <t>1015</t>
  </si>
  <si>
    <t>Gilden van St. Gangulphus en St. Laurentius Huissen</t>
  </si>
  <si>
    <t>korps</t>
  </si>
  <si>
    <t>Vaandelafdeling (KNMO: vierde divisie)</t>
  </si>
  <si>
    <t>nog niet bekent</t>
  </si>
  <si>
    <t>4013</t>
  </si>
  <si>
    <t>Schuttersgilde St. Joris Ulft</t>
  </si>
  <si>
    <t>1882</t>
  </si>
  <si>
    <t>4003</t>
  </si>
  <si>
    <t>Schutterij St. Martinus Wehl</t>
  </si>
  <si>
    <t>4001</t>
  </si>
  <si>
    <t>Schutterij Sint Martinus Dichteren</t>
  </si>
  <si>
    <t>graag zouden wij tijdens mars- en defiléwedstrijden achter de Eendracht Wehl aansluiten.</t>
  </si>
  <si>
    <t>3002</t>
  </si>
  <si>
    <t>Schutterij Loil Vooruit</t>
  </si>
  <si>
    <t>Team1,Team2,Team3,Groep1,Ensemble1</t>
  </si>
  <si>
    <t>Sectie A,Sectie A,Sectie A,Sectie A,Sectie A, Sectie C</t>
  </si>
  <si>
    <t>Jeugd2,Junior,Senior,Senior,Jeugd3</t>
  </si>
  <si>
    <t>1899</t>
  </si>
  <si>
    <t>Sectie A,Sectie A,Sectie A,Sectie A,Sectie A</t>
  </si>
  <si>
    <t>2006</t>
  </si>
  <si>
    <t>Schuttersgilde Claudius Civilis Pannerden</t>
  </si>
  <si>
    <t>4018</t>
  </si>
  <si>
    <t>St. Walburgis Gilde Netterden</t>
  </si>
  <si>
    <t>Marziale van Jan Schipper</t>
  </si>
  <si>
    <t>Drumspecial van Sandie Egberts</t>
  </si>
  <si>
    <t>1914</t>
  </si>
  <si>
    <t>1910</t>
  </si>
  <si>
    <t>1902</t>
  </si>
  <si>
    <t>3005</t>
  </si>
  <si>
    <t>R.K. Schutter St. Antonius</t>
  </si>
  <si>
    <t>Team1,Team2,Duo1,</t>
  </si>
  <si>
    <t>Sectie D,Sectie A,Sectie A,</t>
  </si>
  <si>
    <t>Jeugd1,Jeugd2,Jeugd3,</t>
  </si>
  <si>
    <t>2009</t>
  </si>
  <si>
    <t>Schuttersvereniging Eendracht Maakt Macht Spijk</t>
  </si>
  <si>
    <t>1915</t>
  </si>
  <si>
    <t>Sempre Fidelis</t>
  </si>
  <si>
    <t>Gibraltar</t>
  </si>
  <si>
    <t>3001</t>
  </si>
  <si>
    <t>Schutterij St. Martinus Greffelkamp Didam</t>
  </si>
  <si>
    <t>Team1,Team2,Team3,Ensemble3</t>
  </si>
  <si>
    <t>Jeugd2,Junior,Senior,Senior</t>
  </si>
  <si>
    <t>2001</t>
  </si>
  <si>
    <t>Schutterij St. Andreas Zevenaar</t>
  </si>
  <si>
    <t>Zowel de senioren als de aspiranten hebben de voorkeur voor vendelen in de middag.</t>
  </si>
  <si>
    <t>4022</t>
  </si>
  <si>
    <t>St. Switbertus Lichtenvoorde</t>
  </si>
  <si>
    <t>Geachte lezer. Wij komen met een groep vendeliers vendelen en om te lopen met de mars en defilé . Het lukt me niet om de vragenlijst zo in te vullen dat alleen dat de uitkomst is. Mocht u vragen hebben dan mag u mij bellen of mailen. 06.53421940 m.rondeel22@gmail.com
Groet, Martin Rondeel</t>
  </si>
  <si>
    <t>1927</t>
  </si>
  <si>
    <t>1008</t>
  </si>
  <si>
    <t>Schutterij EMM Kekerdom</t>
  </si>
  <si>
    <t>moet nog overlegt worden.</t>
  </si>
  <si>
    <t>moet nog overlegt worden</t>
  </si>
  <si>
    <t>3009</t>
  </si>
  <si>
    <t>Hooglandse Schutterij Sint-Martinus Braamt</t>
  </si>
  <si>
    <t>Wij lopen samen met St. Johannes uit Zeddam.</t>
  </si>
  <si>
    <t>3012</t>
  </si>
  <si>
    <t>St. Antoniusgilde ’s Heerenberg</t>
  </si>
  <si>
    <t>Wij hebben alleen Tamboers</t>
  </si>
  <si>
    <t>1012</t>
  </si>
  <si>
    <t>De Schutterij Gijsbrecht van Aemstel van Doornenburg en Honderd Morgen</t>
  </si>
  <si>
    <t>2015</t>
  </si>
  <si>
    <t>Schutterij Eensgezindheid Aerdt</t>
  </si>
  <si>
    <t>1948</t>
  </si>
  <si>
    <t>2003</t>
  </si>
  <si>
    <t>Schuttersvereniging St. Anna</t>
  </si>
  <si>
    <t>2010</t>
  </si>
  <si>
    <t>Gilde St. Remigius Duiven</t>
  </si>
  <si>
    <t>2002</t>
  </si>
  <si>
    <t>Schutterij Onderling Genoegen Duiven</t>
  </si>
  <si>
    <t>1957</t>
  </si>
  <si>
    <t>1954</t>
  </si>
  <si>
    <t>waarschijnlijk 2x ingevuld maar beter dan niet. vriendelijke groet A. Stevens</t>
  </si>
  <si>
    <t>4005</t>
  </si>
  <si>
    <t>Schutterij De Eendracht Wehl</t>
  </si>
  <si>
    <t>nog niet bekend</t>
  </si>
  <si>
    <t>4002</t>
  </si>
  <si>
    <t>Schuttersgilde St. Martinus</t>
  </si>
  <si>
    <t>1963</t>
  </si>
  <si>
    <t>3006</t>
  </si>
  <si>
    <t>De Eendracht Didam</t>
  </si>
  <si>
    <t>80 deelnemers is incl. muziek.
Aangezien wij zelf de organisatie hebben zijn een hoop leden al op de wedstrijd locatie bezig met de voorbereidingen</t>
  </si>
  <si>
    <t>In the Picture</t>
  </si>
  <si>
    <t>Don't leave me this way</t>
  </si>
  <si>
    <t>Duo3,Groep1,Ensemble1,Team2</t>
  </si>
  <si>
    <t>Sectie A,Sectie A,Sectie A,Sectie C</t>
  </si>
  <si>
    <t>Jeugd3,Jeugd1,Senior,Senior</t>
  </si>
  <si>
    <t>Nog invullen</t>
  </si>
  <si>
    <t>80 deelnemers is inclusief muziekkorps.
Is vrij ver weg, maar waarschijnlijk komen we wel met meer mensen</t>
  </si>
  <si>
    <t>1970</t>
  </si>
  <si>
    <t>1966</t>
  </si>
  <si>
    <t>Column1</t>
  </si>
  <si>
    <t>_332</t>
  </si>
  <si>
    <t>2005</t>
  </si>
  <si>
    <t>Gilde St. Jan Babberich</t>
  </si>
  <si>
    <t>2011</t>
  </si>
  <si>
    <t>Schutterij Eendracht Maakt Macht Groessen</t>
  </si>
  <si>
    <t>1975</t>
  </si>
  <si>
    <t>3013</t>
  </si>
  <si>
    <t>St. Johannes Zeddam</t>
  </si>
  <si>
    <t>We lopen samen met schutterij St. Martinus Braamt.
Kan niet alle majorettes opgeven,
zij hebben nog een duo 5 en een Solo 1 senior en Solo 2 junior, waar kan ik deze invullen?</t>
  </si>
  <si>
    <t>Team1,Team2,Team3,Ensemble1,Duo1,Duo2,Duo3,Duo4</t>
  </si>
  <si>
    <t>Sectie A,Sectie A,Sectie A,Sectie A,Sectie A,Sectie A,Sectie A,Sectie A</t>
  </si>
  <si>
    <t>Senior,Senior,Jeugd3,Senior,Senior,Junior,Junior,Jeugd3</t>
  </si>
  <si>
    <t>4012</t>
  </si>
  <si>
    <t>Schuttersvereniging Willem Tell Silvolde</t>
  </si>
  <si>
    <t>Groep1,Ensemble1,Ensemble2,Duo1,Duo2,Duo3,Duo4,</t>
  </si>
  <si>
    <t>Sectie A,Sectie A,Sectie A,Sectie A,Sectie A,Sectie A,Sectie A,</t>
  </si>
  <si>
    <t>Junior,Junior,Jeugd3,Junior,Junior,Jeugd3,Jeugd3,</t>
  </si>
  <si>
    <t>1006</t>
  </si>
  <si>
    <t>Schutterij B.U.B. Beek-Ubbergen</t>
  </si>
  <si>
    <t>het aantal kan nog variëren ; zodra de aantallen bekend zijn geef ik het door. Ook qua jeugdschieren weet ik nog geen aantallen; die gegevens volgen ook zodra ik ze binnen heb.</t>
  </si>
  <si>
    <t>Team1,Team2,Team3,</t>
  </si>
  <si>
    <t>Sectie A,Sectie A,Sectie A,</t>
  </si>
  <si>
    <t>Senior,Jeugd3,Jeugd2,</t>
  </si>
  <si>
    <t>De majorettes hebben nog een duo 5, solo1 senior en solo 2 junior, waar kan ik die invullen?</t>
  </si>
  <si>
    <t>aantallen zijn nog niet bekend-&gt; volgt later</t>
  </si>
  <si>
    <t>3011</t>
  </si>
  <si>
    <t>St. Jans Gilde Beek-Loerbeek</t>
  </si>
  <si>
    <t xml:space="preserve">  </t>
  </si>
  <si>
    <t xml:space="preserve">Team1 Team2 Team3 Ensemble1 Duo1 Duo2 Duo3 Duo4   </t>
  </si>
  <si>
    <t xml:space="preserve">Sectie A Sectie A Sectie A Sectie A Sectie A Sectie A Sectie A Sectie A   </t>
  </si>
  <si>
    <t xml:space="preserve">Senior Senior Jeugd3 Senior Senior Junior Junior Jeugd3   </t>
  </si>
  <si>
    <t xml:space="preserve">Team1 Team2 Team3 Ensemble3   </t>
  </si>
  <si>
    <t xml:space="preserve">Sectie A Sectie A Sectie A Sectie A   </t>
  </si>
  <si>
    <t xml:space="preserve">Jeugd2 Junior Senior Senior   </t>
  </si>
  <si>
    <t>Team1 Team2 Duo1</t>
  </si>
  <si>
    <t>Sectie D Sectie A Sectie A</t>
  </si>
  <si>
    <t>Jeugd1 Jeugd2 Jeugd3</t>
  </si>
  <si>
    <t xml:space="preserve">Team1 Team2 Team3 Groep1 Ensemble1  </t>
  </si>
  <si>
    <t xml:space="preserve">Sectie A Sectie A Sectie A Sectie A Sectie A  Sectie C  </t>
  </si>
  <si>
    <t xml:space="preserve">Jeugd2 Junior Senior Senior Jeugd3  </t>
  </si>
  <si>
    <t xml:space="preserve">Duo1 Ensemble1 Ensemble2 Team1   </t>
  </si>
  <si>
    <t xml:space="preserve">Jeugd1 Senior Senior Senior   </t>
  </si>
  <si>
    <t xml:space="preserve">Groep1  </t>
  </si>
  <si>
    <t xml:space="preserve">Sectie A  </t>
  </si>
  <si>
    <t xml:space="preserve">Jeugd1  </t>
  </si>
  <si>
    <t xml:space="preserve">Duo3 Groep1 Ensemble1 Team2   </t>
  </si>
  <si>
    <t xml:space="preserve">Sectie A Sectie A Sectie A Sectie C   </t>
  </si>
  <si>
    <t xml:space="preserve">Jeugd3 Jeugd1 Senior Senior   </t>
  </si>
  <si>
    <t xml:space="preserve">Sectie A Sectie A Sectie A Sectie A Sectie A  </t>
  </si>
  <si>
    <t>Groep1 Ensemble1 Ensemble2 Duo1 Duo2 Duo3 Duo4</t>
  </si>
  <si>
    <t>Sectie A Sectie A Sectie A Sectie A Sectie A Sectie A Sectie A</t>
  </si>
  <si>
    <t>Junior Junior Jeugd3 Junior Junior Jeugd3 Jeugd3</t>
  </si>
  <si>
    <t>Team1 Team2 Team3</t>
  </si>
  <si>
    <t>Sectie A Sectie A Sectie A</t>
  </si>
  <si>
    <t>Senior Jeugd3 Jeugd2</t>
  </si>
  <si>
    <t>Muziekvereniging moet nog beoordelen of deze datum kan is dus nog niet zeker of zij meekomen.</t>
  </si>
  <si>
    <t>Geachte lezer. Wij komen met een groep vendeliers vendelen en om te lopen met de mars en defilé . Het lukt me niet om de vragenlijst zo in te vullen dat alleen dat de uitkomst is. Mocht u vragen hebben dan mag u mij bellen of mailen. 06.53421940 m.rondeel22@gmail.com
Groet Martin Rondeel</t>
  </si>
  <si>
    <t>Hoi Tjebbe, ik zie dat je de jeudgleden qua schieten nog niet de namen kunt invullen? Die gaat nog wel gebeuren voor het concours? Puur even als opmerking voor nu. Majorettes doen wij wel mee aan de wedstrijden deze vul ik voor 31 december nog in.</t>
  </si>
  <si>
    <t>Dit concours organiseren we zelf. We willen de mars- en defiléwedstrijden zelf openen maar willen niet gejureerd worden.</t>
  </si>
  <si>
    <t>We lopen samen met schutterij St. Martinus Braamt. Kan niet alle majorettes opgeven zij hebben nog een duo 5 en een Solo 1 senior en Solo 2 junior waar kan ik deze invullen?</t>
  </si>
  <si>
    <t>80 deelnemers is incl. muziek. Aangezien wij zelf de organisatie hebben zijn een hoop leden al op de wedstrijd locatie bezig met de voorbereidingen</t>
  </si>
  <si>
    <t>Bij controle bleken er gegevens verdwenen (o.a. deelname vendelwedstrijden. ik ben er zeker van dat die wel ingevuld waren.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</si>
</sst>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Calibri"/>
      <family val="2"/>
      <scheme val="minor"/>
    </font>
    <font>
      <sz val="8"/>
      <name val="Calibri"/>
      <family val="2"/>
      <scheme val="minor"/>
    </font>
    <font>
      <sz val="11"/>
      <color theme="0"/>
      <name val="Calibri"/>
      <family val="2"/>
      <scheme val="minor"/>
    </font>
    <font>
      <sz val="11"/>
      <name val="Calibri"/>
      <family val="2"/>
      <scheme val="minor"/>
    </font>
    <font>
      <b/>
      <sz val="11"/>
      <color theme="1"/>
      <name val="Calibri"/>
      <family val="2"/>
      <scheme val="minor"/>
    </font>
    <font>
      <b/>
      <sz val="11"/>
      <name val="Calibri"/>
      <family val="2"/>
      <scheme val="minor"/>
    </font>
    <font>
      <sz val="12"/>
      <color theme="1"/>
      <name val="Calibri"/>
      <family val="2"/>
      <scheme val="minor"/>
    </font>
    <font>
      <b/>
      <sz val="18"/>
      <color theme="1"/>
      <name val="Calibri"/>
      <family val="2"/>
      <scheme val="minor"/>
    </font>
    <font>
      <b/>
      <sz val="12"/>
      <color theme="1"/>
      <name val="Calibri"/>
      <family val="2"/>
      <scheme val="minor"/>
    </font>
    <font>
      <sz val="12"/>
      <name val="Calibri"/>
      <family val="2"/>
      <scheme val="minor"/>
    </font>
    <font>
      <b/>
      <sz val="12"/>
      <name val="Calibri"/>
      <family val="2"/>
      <scheme val="minor"/>
    </font>
    <font>
      <b/>
      <sz val="14"/>
      <color theme="1"/>
      <name val="Calibri"/>
      <family val="2"/>
      <scheme val="minor"/>
    </font>
    <font>
      <b/>
      <sz val="11"/>
      <color rgb="FF000000"/>
      <name val="Calibri"/>
      <family val="2"/>
      <scheme val="minor"/>
    </font>
  </fonts>
  <fills count="4">
    <fill>
      <patternFill patternType="none"/>
    </fill>
    <fill>
      <patternFill patternType="gray125"/>
    </fill>
    <fill>
      <patternFill patternType="solid">
        <fgColor theme="9"/>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double">
        <color rgb="FF70AD47"/>
      </top>
      <bottom style="thin">
        <color rgb="FFA9D08E"/>
      </bottom>
      <diagonal/>
    </border>
  </borders>
  <cellStyleXfs count="2">
    <xf numFmtId="0" fontId="0" fillId="0" borderId="0"/>
    <xf numFmtId="0" fontId="7" fillId="0" borderId="0"/>
  </cellStyleXfs>
  <cellXfs count="174">
    <xf numFmtId="0" fontId="0" fillId="0" borderId="0" xfId="0"/>
    <xf numFmtId="0" fontId="0" fillId="0" borderId="0" xfId="0" applyAlignment="1">
      <alignment horizontal="center"/>
    </xf>
    <xf numFmtId="0" fontId="4" fillId="0" borderId="0" xfId="0" applyFont="1"/>
    <xf numFmtId="0" fontId="4" fillId="0" borderId="0" xfId="0" applyFont="1" applyAlignment="1">
      <alignment horizontal="right" vertical="top" textRotation="90"/>
    </xf>
    <xf numFmtId="0" fontId="4" fillId="0" borderId="0" xfId="0" applyFont="1" applyAlignment="1">
      <alignment horizontal="center" vertical="top" textRotation="90"/>
    </xf>
    <xf numFmtId="0" fontId="4" fillId="0" borderId="0" xfId="0" applyFont="1" applyAlignment="1">
      <alignment horizontal="center"/>
    </xf>
    <xf numFmtId="0" fontId="4" fillId="0" borderId="0" xfId="0" applyFont="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3" xfId="0" applyFont="1" applyBorder="1" applyAlignment="1">
      <alignment horizontal="center" vertical="top" textRotation="90"/>
    </xf>
    <xf numFmtId="0" fontId="4" fillId="0" borderId="5" xfId="0" applyFont="1" applyBorder="1" applyAlignment="1">
      <alignment horizontal="center" vertical="top" textRotation="90"/>
    </xf>
    <xf numFmtId="0" fontId="4" fillId="0" borderId="4" xfId="0" applyFont="1" applyBorder="1" applyAlignment="1">
      <alignment horizontal="center" vertical="top" textRotation="90"/>
    </xf>
    <xf numFmtId="0" fontId="3" fillId="0" borderId="5" xfId="0" applyFont="1" applyBorder="1" applyAlignment="1">
      <alignment horizontal="center" vertical="top" textRotation="90"/>
    </xf>
    <xf numFmtId="0" fontId="3" fillId="0" borderId="4" xfId="0" applyFont="1" applyBorder="1" applyAlignment="1">
      <alignment horizontal="center" vertical="top" textRotation="90"/>
    </xf>
    <xf numFmtId="0" fontId="4" fillId="0" borderId="2" xfId="0" applyFont="1" applyBorder="1" applyAlignment="1">
      <alignment horizontal="center" vertical="top" textRotation="90"/>
    </xf>
    <xf numFmtId="0" fontId="0" fillId="0" borderId="14" xfId="0" applyBorder="1"/>
    <xf numFmtId="0" fontId="0" fillId="0" borderId="14" xfId="0" applyBorder="1" applyAlignment="1">
      <alignment horizontal="center"/>
    </xf>
    <xf numFmtId="0" fontId="5" fillId="2" borderId="6" xfId="0" applyFont="1" applyFill="1" applyBorder="1" applyAlignment="1">
      <alignment horizontal="center" vertical="top"/>
    </xf>
    <xf numFmtId="0" fontId="5" fillId="2" borderId="7" xfId="0" applyFont="1" applyFill="1" applyBorder="1" applyAlignment="1">
      <alignment horizontal="center" vertical="top"/>
    </xf>
    <xf numFmtId="0" fontId="5" fillId="2" borderId="11" xfId="0" applyFont="1" applyFill="1" applyBorder="1" applyAlignment="1">
      <alignment horizontal="center" vertical="top"/>
    </xf>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0" borderId="14" xfId="0" applyFont="1" applyBorder="1"/>
    <xf numFmtId="0" fontId="5" fillId="0" borderId="14" xfId="0" applyFont="1" applyBorder="1" applyAlignment="1">
      <alignment horizontal="center"/>
    </xf>
    <xf numFmtId="0" fontId="6" fillId="0" borderId="14" xfId="0" applyFont="1" applyBorder="1" applyAlignment="1">
      <alignment horizontal="center"/>
    </xf>
    <xf numFmtId="0" fontId="5" fillId="0" borderId="15" xfId="0" applyFont="1" applyBorder="1" applyAlignment="1">
      <alignment horizontal="center"/>
    </xf>
    <xf numFmtId="0" fontId="5" fillId="0" borderId="0" xfId="0" applyFont="1"/>
    <xf numFmtId="0" fontId="0" fillId="0" borderId="0" xfId="0" applyAlignment="1">
      <alignment horizontal="center" vertical="top"/>
    </xf>
    <xf numFmtId="0" fontId="5" fillId="0" borderId="0" xfId="0" applyFont="1" applyAlignment="1">
      <alignment horizontal="center" vertical="top"/>
    </xf>
    <xf numFmtId="0" fontId="8" fillId="0" borderId="0" xfId="1" applyFont="1" applyAlignment="1">
      <alignment horizontal="left" vertical="top"/>
    </xf>
    <xf numFmtId="0" fontId="7" fillId="0" borderId="0" xfId="1"/>
    <xf numFmtId="0" fontId="8" fillId="0" borderId="0" xfId="1" applyFont="1" applyAlignment="1">
      <alignment vertical="top"/>
    </xf>
    <xf numFmtId="0" fontId="8" fillId="0" borderId="8" xfId="1" applyFont="1" applyBorder="1" applyAlignment="1">
      <alignment horizontal="left" vertical="top"/>
    </xf>
    <xf numFmtId="0" fontId="8" fillId="0" borderId="9" xfId="1" applyFont="1" applyBorder="1" applyAlignment="1">
      <alignment horizontal="left" vertical="top"/>
    </xf>
    <xf numFmtId="0" fontId="8" fillId="0" borderId="10" xfId="1" applyFont="1" applyBorder="1" applyAlignment="1">
      <alignment horizontal="left" vertical="top"/>
    </xf>
    <xf numFmtId="0" fontId="8" fillId="0" borderId="6" xfId="1" applyFont="1" applyBorder="1" applyAlignment="1">
      <alignment horizontal="left" vertical="top"/>
    </xf>
    <xf numFmtId="0" fontId="8" fillId="0" borderId="7" xfId="1" applyFont="1" applyBorder="1" applyAlignment="1">
      <alignment horizontal="left" vertical="top"/>
    </xf>
    <xf numFmtId="0" fontId="8" fillId="0" borderId="11" xfId="1" applyFont="1" applyBorder="1" applyAlignment="1">
      <alignment horizontal="left" vertical="top"/>
    </xf>
    <xf numFmtId="0" fontId="10" fillId="0" borderId="12" xfId="1" applyFont="1" applyBorder="1"/>
    <xf numFmtId="0" fontId="10" fillId="0" borderId="8" xfId="1" applyFont="1" applyBorder="1"/>
    <xf numFmtId="0" fontId="10" fillId="0" borderId="12" xfId="1" applyFont="1" applyBorder="1" applyAlignment="1">
      <alignment wrapText="1"/>
    </xf>
    <xf numFmtId="0" fontId="10" fillId="0" borderId="0" xfId="1" applyFont="1"/>
    <xf numFmtId="0" fontId="9" fillId="0" borderId="0" xfId="0" applyFont="1" applyAlignment="1">
      <alignment horizontal="center"/>
    </xf>
    <xf numFmtId="0" fontId="11" fillId="2" borderId="1" xfId="0" applyFont="1" applyFill="1" applyBorder="1"/>
    <xf numFmtId="0" fontId="11" fillId="2" borderId="1" xfId="0" applyFont="1" applyFill="1" applyBorder="1" applyAlignment="1">
      <alignment horizontal="center" wrapText="1"/>
    </xf>
    <xf numFmtId="0" fontId="4" fillId="0" borderId="8" xfId="0" applyFont="1" applyBorder="1" applyAlignment="1">
      <alignment vertical="top"/>
    </xf>
    <xf numFmtId="0" fontId="4" fillId="0" borderId="10" xfId="0" applyFont="1" applyBorder="1" applyAlignment="1">
      <alignment vertical="top"/>
    </xf>
    <xf numFmtId="0" fontId="4" fillId="0" borderId="9" xfId="0" applyFont="1" applyBorder="1" applyAlignment="1">
      <alignment horizontal="center" vertical="top" textRotation="90"/>
    </xf>
    <xf numFmtId="0" fontId="4" fillId="0" borderId="10" xfId="0" applyFont="1" applyBorder="1" applyAlignment="1">
      <alignment horizontal="center" vertical="top" textRotation="90"/>
    </xf>
    <xf numFmtId="0" fontId="4" fillId="0" borderId="8" xfId="0" applyFont="1" applyBorder="1" applyAlignment="1">
      <alignment horizontal="center" vertical="top" textRotation="90"/>
    </xf>
    <xf numFmtId="0" fontId="3" fillId="0" borderId="9" xfId="0" applyFont="1" applyBorder="1" applyAlignment="1">
      <alignment horizontal="center" vertical="top" textRotation="90"/>
    </xf>
    <xf numFmtId="0" fontId="3" fillId="0" borderId="10" xfId="0" applyFont="1" applyBorder="1" applyAlignment="1">
      <alignment horizontal="center" vertical="top" textRotation="90"/>
    </xf>
    <xf numFmtId="0" fontId="4" fillId="0" borderId="12" xfId="0" applyFont="1" applyBorder="1" applyAlignment="1">
      <alignment horizontal="center" vertical="top" textRotation="90"/>
    </xf>
    <xf numFmtId="22" fontId="0" fillId="0" borderId="14" xfId="0" applyNumberFormat="1" applyBorder="1"/>
    <xf numFmtId="0" fontId="0" fillId="0" borderId="14" xfId="0" applyBorder="1" applyAlignment="1">
      <alignment wrapText="1"/>
    </xf>
    <xf numFmtId="0" fontId="0" fillId="0" borderId="0" xfId="0" applyAlignment="1">
      <alignment wrapText="1"/>
    </xf>
    <xf numFmtId="0" fontId="5" fillId="2" borderId="7" xfId="0" applyFont="1" applyFill="1" applyBorder="1" applyAlignment="1">
      <alignment horizontal="center" wrapText="1"/>
    </xf>
    <xf numFmtId="0" fontId="0" fillId="0" borderId="0" xfId="0" applyAlignment="1">
      <alignment horizontal="center" wrapText="1"/>
    </xf>
    <xf numFmtId="0" fontId="4" fillId="0" borderId="9" xfId="0" applyFont="1" applyBorder="1" applyAlignment="1">
      <alignment wrapText="1"/>
    </xf>
    <xf numFmtId="0" fontId="5" fillId="0" borderId="16" xfId="0" applyFont="1" applyBorder="1" applyAlignment="1">
      <alignment wrapText="1"/>
    </xf>
    <xf numFmtId="0" fontId="8" fillId="0" borderId="0" xfId="1" applyFont="1" applyAlignment="1">
      <alignment horizontal="left" vertical="top" wrapText="1"/>
    </xf>
    <xf numFmtId="0" fontId="8" fillId="0" borderId="8" xfId="1" applyFont="1" applyBorder="1" applyAlignment="1">
      <alignment vertical="top" wrapText="1"/>
    </xf>
    <xf numFmtId="0" fontId="8" fillId="0" borderId="6" xfId="1" applyFont="1" applyBorder="1" applyAlignment="1">
      <alignment vertical="top" wrapText="1"/>
    </xf>
    <xf numFmtId="0" fontId="7" fillId="0" borderId="0" xfId="1" applyAlignment="1">
      <alignment wrapText="1"/>
    </xf>
    <xf numFmtId="0" fontId="0" fillId="0" borderId="0" xfId="0" applyAlignment="1">
      <alignment horizontal="left"/>
    </xf>
    <xf numFmtId="1" fontId="0" fillId="0" borderId="0" xfId="0" applyNumberFormat="1"/>
    <xf numFmtId="0" fontId="12" fillId="0" borderId="0" xfId="0" applyFont="1" applyAlignment="1">
      <alignment horizontal="center" vertical="center"/>
    </xf>
    <xf numFmtId="0" fontId="12" fillId="0" borderId="0" xfId="0" applyFont="1" applyAlignment="1">
      <alignment horizontal="center"/>
    </xf>
    <xf numFmtId="0" fontId="5" fillId="2" borderId="0" xfId="0" applyFont="1" applyFill="1" applyAlignment="1">
      <alignment horizontal="center" vertical="top"/>
    </xf>
    <xf numFmtId="0" fontId="5" fillId="0" borderId="0" xfId="0" applyFont="1" applyAlignment="1">
      <alignment horizontal="center"/>
    </xf>
    <xf numFmtId="0" fontId="8" fillId="0" borderId="0" xfId="1" applyFont="1" applyAlignment="1">
      <alignment horizontal="center" vertical="top"/>
    </xf>
    <xf numFmtId="0" fontId="4" fillId="0" borderId="2" xfId="0" applyFont="1" applyBorder="1" applyAlignment="1">
      <alignment vertical="top"/>
    </xf>
    <xf numFmtId="0" fontId="4" fillId="0" borderId="3" xfId="0" applyFont="1" applyBorder="1" applyAlignment="1">
      <alignment horizontal="right" vertical="top" textRotation="90"/>
    </xf>
    <xf numFmtId="1" fontId="0" fillId="0" borderId="0" xfId="0" applyNumberFormat="1" applyAlignment="1">
      <alignment horizontal="center"/>
    </xf>
    <xf numFmtId="0" fontId="5" fillId="3" borderId="0" xfId="0" applyFont="1" applyFill="1" applyAlignment="1">
      <alignment horizontal="center" vertical="top"/>
    </xf>
    <xf numFmtId="0" fontId="11" fillId="2" borderId="0" xfId="0" applyFont="1" applyFill="1"/>
    <xf numFmtId="0" fontId="8" fillId="0" borderId="9" xfId="1" applyFont="1" applyBorder="1" applyAlignment="1">
      <alignment vertical="top" wrapText="1"/>
    </xf>
    <xf numFmtId="0" fontId="8" fillId="0" borderId="7" xfId="1" applyFont="1" applyBorder="1" applyAlignment="1">
      <alignment vertical="top" wrapText="1"/>
    </xf>
    <xf numFmtId="0" fontId="0" fillId="0" borderId="0" xfId="0" applyAlignment="1">
      <alignment horizontal="center" vertical="center"/>
    </xf>
    <xf numFmtId="22" fontId="0" fillId="0" borderId="0" xfId="0" applyNumberFormat="1"/>
    <xf numFmtId="0" fontId="5" fillId="2" borderId="3" xfId="0" applyFont="1" applyFill="1" applyBorder="1"/>
    <xf numFmtId="0" fontId="5" fillId="2" borderId="5" xfId="0" applyFont="1" applyFill="1" applyBorder="1"/>
    <xf numFmtId="0" fontId="5" fillId="2" borderId="4" xfId="0" applyFont="1" applyFill="1" applyBorder="1"/>
    <xf numFmtId="0" fontId="4" fillId="0" borderId="0" xfId="0" applyFont="1" applyAlignment="1">
      <alignment horizontal="left"/>
    </xf>
    <xf numFmtId="0" fontId="3" fillId="0" borderId="0" xfId="0" applyFont="1" applyAlignment="1">
      <alignment horizontal="center"/>
    </xf>
    <xf numFmtId="0" fontId="4" fillId="0" borderId="0" xfId="0" applyFont="1" applyAlignment="1">
      <alignment wrapText="1"/>
    </xf>
    <xf numFmtId="0" fontId="0" fillId="0" borderId="5" xfId="0" applyBorder="1" applyAlignment="1">
      <alignment vertical="top" textRotation="90"/>
    </xf>
    <xf numFmtId="0" fontId="5" fillId="2" borderId="8" xfId="0" applyFont="1" applyFill="1" applyBorder="1" applyAlignment="1">
      <alignment vertical="top"/>
    </xf>
    <xf numFmtId="0" fontId="5" fillId="2" borderId="9" xfId="0" applyFont="1" applyFill="1" applyBorder="1" applyAlignment="1">
      <alignment vertical="top"/>
    </xf>
    <xf numFmtId="0" fontId="5" fillId="2" borderId="10" xfId="0" applyFont="1" applyFill="1" applyBorder="1" applyAlignment="1">
      <alignment vertical="top"/>
    </xf>
    <xf numFmtId="0" fontId="4" fillId="0" borderId="5" xfId="0" applyFont="1" applyBorder="1" applyAlignment="1">
      <alignment vertical="top" wrapText="1"/>
    </xf>
    <xf numFmtId="0" fontId="5" fillId="2" borderId="7" xfId="0" applyFont="1" applyFill="1" applyBorder="1"/>
    <xf numFmtId="0" fontId="5" fillId="2" borderId="11" xfId="0" applyFont="1" applyFill="1" applyBorder="1"/>
    <xf numFmtId="0" fontId="0" fillId="0" borderId="4" xfId="0" applyBorder="1" applyAlignment="1">
      <alignment vertical="top" textRotation="90"/>
    </xf>
    <xf numFmtId="22" fontId="0" fillId="0" borderId="0" xfId="0" applyNumberFormat="1" applyAlignment="1">
      <alignment horizontal="center"/>
    </xf>
    <xf numFmtId="14" fontId="0" fillId="0" borderId="0" xfId="0" applyNumberFormat="1"/>
    <xf numFmtId="49" fontId="4" fillId="0" borderId="0" xfId="0" applyNumberFormat="1" applyFont="1" applyAlignment="1">
      <alignment horizontal="center"/>
    </xf>
    <xf numFmtId="0" fontId="5" fillId="2" borderId="5" xfId="0" applyFont="1" applyFill="1" applyBorder="1" applyAlignment="1">
      <alignment vertical="center"/>
    </xf>
    <xf numFmtId="0" fontId="5" fillId="2" borderId="4" xfId="0" applyFont="1" applyFill="1" applyBorder="1" applyAlignment="1">
      <alignment vertical="center"/>
    </xf>
    <xf numFmtId="0" fontId="4" fillId="0" borderId="5" xfId="0" applyFont="1" applyBorder="1" applyAlignment="1">
      <alignment horizontal="left" vertical="top" wrapText="1"/>
    </xf>
    <xf numFmtId="0" fontId="5" fillId="2" borderId="7" xfId="0" applyFont="1" applyFill="1" applyBorder="1" applyAlignment="1">
      <alignment horizontal="left" wrapText="1"/>
    </xf>
    <xf numFmtId="0" fontId="4" fillId="0" borderId="5" xfId="0" applyFont="1" applyBorder="1" applyAlignment="1">
      <alignment horizontal="left" wrapText="1"/>
    </xf>
    <xf numFmtId="0" fontId="5" fillId="2" borderId="5"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applyAlignment="1">
      <alignment horizontal="center" vertical="top"/>
    </xf>
    <xf numFmtId="0" fontId="5" fillId="2" borderId="10" xfId="0" applyFont="1" applyFill="1" applyBorder="1" applyAlignment="1">
      <alignment horizontal="center" vertical="top"/>
    </xf>
    <xf numFmtId="0" fontId="10" fillId="0" borderId="1" xfId="1" applyFont="1" applyBorder="1" applyAlignment="1">
      <alignment textRotation="90" wrapText="1"/>
    </xf>
    <xf numFmtId="0" fontId="10" fillId="0" borderId="9" xfId="1" applyFont="1" applyBorder="1" applyAlignment="1">
      <alignment textRotation="90"/>
    </xf>
    <xf numFmtId="0" fontId="10" fillId="0" borderId="10" xfId="1" applyFont="1" applyBorder="1" applyAlignment="1">
      <alignment textRotation="90"/>
    </xf>
    <xf numFmtId="0" fontId="10" fillId="0" borderId="1" xfId="1" applyFont="1" applyBorder="1" applyAlignment="1">
      <alignment horizontal="center" textRotation="90" wrapText="1"/>
    </xf>
    <xf numFmtId="0" fontId="4" fillId="0" borderId="1" xfId="0" applyFont="1" applyBorder="1" applyAlignment="1">
      <alignment horizontal="center" textRotation="90" wrapText="1"/>
    </xf>
    <xf numFmtId="0" fontId="13" fillId="0" borderId="25" xfId="0" applyFont="1" applyBorder="1" applyAlignment="1">
      <alignment horizontal="center"/>
    </xf>
    <xf numFmtId="0" fontId="0" fillId="0" borderId="4" xfId="0" applyBorder="1" applyAlignment="1">
      <alignment horizontal="center" vertical="top" textRotation="90"/>
    </xf>
    <xf numFmtId="0" fontId="5" fillId="2" borderId="6" xfId="0" applyFont="1" applyFill="1" applyBorder="1"/>
    <xf numFmtId="0" fontId="0" fillId="0" borderId="5" xfId="0" applyBorder="1" applyAlignment="1">
      <alignment horizontal="center" vertical="top" textRotation="90"/>
    </xf>
    <xf numFmtId="0" fontId="5" fillId="2" borderId="10" xfId="0" applyFont="1" applyFill="1" applyBorder="1" applyAlignment="1">
      <alignment horizontal="left"/>
    </xf>
    <xf numFmtId="0" fontId="5" fillId="2" borderId="11" xfId="0" applyFont="1" applyFill="1" applyBorder="1" applyAlignment="1">
      <alignment horizontal="left"/>
    </xf>
    <xf numFmtId="0" fontId="4" fillId="0" borderId="4" xfId="0" applyFont="1" applyBorder="1" applyAlignment="1">
      <alignment horizontal="left" vertical="top"/>
    </xf>
    <xf numFmtId="0" fontId="5" fillId="0" borderId="0" xfId="0" applyFont="1" applyAlignment="1">
      <alignment horizontal="left"/>
    </xf>
    <xf numFmtId="0" fontId="0" fillId="0" borderId="0" xfId="0" applyAlignment="1">
      <alignment horizontal="right"/>
    </xf>
    <xf numFmtId="0" fontId="0" fillId="0" borderId="0" xfId="0" applyAlignment="1">
      <alignment horizontal="left" wrapText="1"/>
    </xf>
    <xf numFmtId="0" fontId="1" fillId="0" borderId="14" xfId="0" applyFont="1" applyBorder="1"/>
    <xf numFmtId="0" fontId="1" fillId="0" borderId="14" xfId="0" applyFont="1" applyBorder="1" applyAlignment="1">
      <alignment horizontal="center"/>
    </xf>
    <xf numFmtId="0" fontId="1" fillId="0" borderId="14" xfId="0" applyFont="1" applyBorder="1" applyAlignment="1">
      <alignment wrapText="1"/>
    </xf>
    <xf numFmtId="22" fontId="7" fillId="0" borderId="14" xfId="1" applyNumberFormat="1" applyBorder="1"/>
    <xf numFmtId="0" fontId="7" fillId="0" borderId="14" xfId="1" applyBorder="1"/>
    <xf numFmtId="0" fontId="7" fillId="0" borderId="14" xfId="1" applyBorder="1" applyAlignment="1">
      <alignment horizontal="center"/>
    </xf>
    <xf numFmtId="0" fontId="7" fillId="0" borderId="0" xfId="1" applyAlignment="1">
      <alignment horizontal="center" vertical="center"/>
    </xf>
    <xf numFmtId="0" fontId="7" fillId="0" borderId="14" xfId="1" applyBorder="1" applyAlignment="1">
      <alignment wrapText="1"/>
    </xf>
    <xf numFmtId="22" fontId="7" fillId="0" borderId="0" xfId="1" applyNumberFormat="1"/>
    <xf numFmtId="0" fontId="4" fillId="0" borderId="0" xfId="0" applyFont="1" applyAlignment="1">
      <alignment horizontal="center" textRotation="90"/>
    </xf>
    <xf numFmtId="0" fontId="5" fillId="2" borderId="0" xfId="0" applyFont="1" applyFill="1" applyAlignment="1">
      <alignment horizontal="center" vertical="center"/>
    </xf>
    <xf numFmtId="0" fontId="5" fillId="2" borderId="0" xfId="0" applyFont="1" applyFill="1" applyAlignment="1">
      <alignment horizontal="center"/>
    </xf>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3" xfId="0" applyFont="1" applyFill="1" applyBorder="1" applyAlignment="1">
      <alignment horizontal="center"/>
    </xf>
    <xf numFmtId="0" fontId="5" fillId="2" borderId="5" xfId="0" applyFont="1" applyFill="1" applyBorder="1" applyAlignment="1">
      <alignment horizontal="center"/>
    </xf>
    <xf numFmtId="0" fontId="5" fillId="2" borderId="4" xfId="0" applyFont="1" applyFill="1" applyBorder="1" applyAlignment="1">
      <alignment horizont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center"/>
    </xf>
    <xf numFmtId="0" fontId="12" fillId="0" borderId="0" xfId="0" applyFont="1" applyAlignment="1">
      <alignment horizont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8" xfId="0" applyFont="1" applyFill="1" applyBorder="1" applyAlignment="1">
      <alignment horizontal="center" vertical="top"/>
    </xf>
    <xf numFmtId="0" fontId="5" fillId="2" borderId="9" xfId="0" applyFont="1" applyFill="1" applyBorder="1" applyAlignment="1">
      <alignment horizontal="center" vertical="top"/>
    </xf>
    <xf numFmtId="0" fontId="5" fillId="2" borderId="10" xfId="0" applyFont="1" applyFill="1" applyBorder="1" applyAlignment="1">
      <alignment horizontal="center" vertical="top"/>
    </xf>
    <xf numFmtId="0" fontId="8" fillId="0" borderId="23" xfId="1" applyFont="1" applyBorder="1" applyAlignment="1">
      <alignment horizontal="center" vertical="top"/>
    </xf>
    <xf numFmtId="0" fontId="8" fillId="0" borderId="0" xfId="1" applyFont="1" applyAlignment="1">
      <alignment horizontal="center" vertical="top"/>
    </xf>
    <xf numFmtId="0" fontId="8" fillId="0" borderId="24" xfId="1" applyFont="1" applyBorder="1" applyAlignment="1">
      <alignment horizontal="center" vertical="top"/>
    </xf>
    <xf numFmtId="0" fontId="8" fillId="0" borderId="6" xfId="1" applyFont="1" applyBorder="1" applyAlignment="1">
      <alignment horizontal="center" vertical="top"/>
    </xf>
    <xf numFmtId="0" fontId="8" fillId="0" borderId="7" xfId="1" applyFont="1" applyBorder="1" applyAlignment="1">
      <alignment horizontal="center" vertical="top"/>
    </xf>
    <xf numFmtId="0" fontId="9" fillId="0" borderId="17" xfId="1" applyFont="1" applyBorder="1" applyAlignment="1">
      <alignment horizontal="center" vertical="top"/>
    </xf>
    <xf numFmtId="0" fontId="9" fillId="0" borderId="18" xfId="1" applyFont="1" applyBorder="1" applyAlignment="1">
      <alignment horizontal="center" vertical="top"/>
    </xf>
    <xf numFmtId="0" fontId="9" fillId="0" borderId="19" xfId="1" applyFont="1" applyBorder="1" applyAlignment="1">
      <alignment horizontal="center" vertical="top"/>
    </xf>
    <xf numFmtId="0" fontId="8" fillId="0" borderId="17" xfId="1" applyFont="1" applyBorder="1" applyAlignment="1">
      <alignment horizontal="center" vertical="top"/>
    </xf>
    <xf numFmtId="0" fontId="8" fillId="0" borderId="18" xfId="1" applyFont="1" applyBorder="1" applyAlignment="1">
      <alignment horizontal="center" vertical="top"/>
    </xf>
    <xf numFmtId="0" fontId="8" fillId="0" borderId="20" xfId="1" applyFont="1" applyBorder="1" applyAlignment="1">
      <alignment horizontal="center" vertical="top"/>
    </xf>
    <xf numFmtId="0" fontId="8" fillId="0" borderId="21" xfId="1" applyFont="1" applyBorder="1" applyAlignment="1">
      <alignment horizontal="center" vertical="top"/>
    </xf>
    <xf numFmtId="0" fontId="8" fillId="0" borderId="22" xfId="1" applyFont="1" applyBorder="1" applyAlignment="1">
      <alignment horizontal="center" vertical="top"/>
    </xf>
    <xf numFmtId="0" fontId="8" fillId="0" borderId="0" xfId="0" applyFont="1" applyAlignment="1">
      <alignment horizontal="center"/>
    </xf>
    <xf numFmtId="0" fontId="9" fillId="0" borderId="0" xfId="0" applyFont="1" applyAlignment="1">
      <alignment horizontal="center"/>
    </xf>
  </cellXfs>
  <cellStyles count="2">
    <cellStyle name="Standaard" xfId="0" builtinId="0"/>
    <cellStyle name="Standaard 2" xfId="1" xr:uid="{F19B0B72-0ABE-41BD-B88E-C05ECC626655}"/>
  </cellStyles>
  <dxfs count="88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27" formatCode="dd/mm/yyyy\ hh:mm"/>
    </dxf>
    <dxf>
      <border diagonalUp="0" diagonalDown="0" outline="0">
        <left style="thin">
          <color indexed="64"/>
        </left>
        <right style="thin">
          <color indexed="64"/>
        </right>
        <top/>
        <bottom/>
      </border>
    </dxf>
    <dxf>
      <numFmt numFmtId="27" formatCode="dd/mm/yyyy\ hh:mm"/>
      <border diagonalUp="0" diagonalDown="0">
        <left style="thin">
          <color indexed="64"/>
        </left>
        <right style="thin">
          <color indexed="64"/>
        </right>
        <top/>
        <bottom/>
        <vertical/>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bottom/>
        <vertical/>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bottom/>
        <vertical/>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bottom/>
        <vertical/>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bottom/>
        <vertical/>
        <horizontal/>
      </border>
    </dxf>
    <dxf>
      <font>
        <strike val="0"/>
        <outline val="0"/>
        <shadow val="0"/>
        <u val="none"/>
        <vertAlign val="baseline"/>
        <sz val="11"/>
        <color auto="1"/>
        <name val="Calibri"/>
        <family val="2"/>
        <scheme val="minor"/>
      </font>
    </dxf>
    <dxf>
      <numFmt numFmtId="27" formatCode="dd/mm/yyyy\ hh:mm"/>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border diagonalUp="0" diagonalDown="0" outline="0">
        <left style="thin">
          <color indexed="64"/>
        </left>
        <right style="thin">
          <color indexed="64"/>
        </right>
        <top/>
        <bottom/>
      </border>
    </dxf>
    <dxf>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border diagonalUp="0" diagonalDown="0" outline="0">
        <left style="thin">
          <color indexed="64"/>
        </left>
        <right style="thin">
          <color indexed="64"/>
        </right>
        <top/>
        <bottom/>
      </border>
    </dxf>
    <dxf>
      <numFmt numFmtId="0" formatCode="General"/>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border diagonalUp="0" diagonalDown="0" outline="0">
        <left style="thin">
          <color indexed="64"/>
        </left>
        <right style="thin">
          <color indexed="64"/>
        </right>
        <top/>
        <bottom/>
      </border>
    </dxf>
    <dxf>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border diagonalUp="0" diagonalDown="0" outline="0">
        <left style="thin">
          <color indexed="64"/>
        </left>
        <right style="thin">
          <color indexed="64"/>
        </right>
        <top/>
        <bottom/>
      </border>
    </dxf>
    <dxf>
      <numFmt numFmtId="27" formatCode="dd/mm/yyyy\ hh:mm"/>
      <fill>
        <patternFill patternType="none">
          <fgColor indexed="64"/>
          <bgColor indexed="65"/>
        </patternFill>
      </fill>
      <border diagonalUp="0" diagonalDown="0">
        <left style="thin">
          <color indexed="64"/>
        </left>
        <right style="thin">
          <color indexed="64"/>
        </right>
        <top/>
        <bottom/>
        <vertical/>
        <horizontal/>
      </border>
    </dxf>
    <dxf>
      <numFmt numFmtId="0" formatCode="General"/>
    </dxf>
    <dxf>
      <font>
        <strike val="0"/>
        <outline val="0"/>
        <shadow val="0"/>
        <u val="none"/>
        <vertAlign val="baseline"/>
        <sz val="12"/>
        <color auto="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27" formatCode="dd/mm/yyyy\ hh:mm"/>
    </dxf>
    <dxf>
      <alignment horizontal="center" vertical="bottom" textRotation="0" wrapText="0" indent="0" justifyLastLine="0" shrinkToFit="0" readingOrder="0"/>
    </dxf>
    <dxf>
      <numFmt numFmtId="27" formatCode="dd/mm/yyyy\ hh:mm"/>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1" indent="0" justifyLastLine="0" shrinkToFit="0" readingOrder="0"/>
    </dxf>
    <dxf>
      <numFmt numFmtId="0" formatCode="General"/>
      <alignment horizontal="left" vertical="bottom" textRotation="0" wrapText="1"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double">
          <color rgb="FF70AD47"/>
        </top>
        <bottom style="thin">
          <color rgb="FFA9D08E"/>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top" textRotation="90" wrapText="0"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27" formatCode="dd/mm/yyyy\ hh:mm"/>
    </dxf>
    <dxf>
      <numFmt numFmtId="27" formatCode="dd/mm/yyyy\ hh:mm"/>
      <border diagonalUp="0" diagonalDown="0">
        <left style="thin">
          <color indexed="64"/>
        </left>
        <right style="thin">
          <color indexed="64"/>
        </right>
        <top/>
        <bottom/>
        <vertical/>
        <horizontal/>
      </border>
    </dxf>
    <dxf>
      <numFmt numFmtId="0" formatCode="General"/>
      <border diagonalUp="0" diagonalDown="0">
        <left style="thin">
          <color indexed="64"/>
        </left>
        <right style="thin">
          <color indexed="64"/>
        </right>
        <top/>
        <bottom/>
        <vertical/>
        <horizontal/>
      </border>
    </dxf>
    <dxf>
      <alignment horizontal="general" vertical="bottom" textRotation="0" wrapText="1"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0" formatCode="General"/>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0" formatCode="General"/>
      <border diagonalUp="0" diagonalDown="0">
        <left style="thin">
          <color indexed="64"/>
        </left>
        <right style="thin">
          <color indexed="64"/>
        </right>
        <top/>
        <bottom/>
        <vertical/>
        <horizontal/>
      </border>
    </dxf>
    <dxf>
      <numFmt numFmtId="0" formatCode="General"/>
      <border diagonalUp="0" diagonalDown="0">
        <left style="thin">
          <color indexed="64"/>
        </left>
        <right style="thin">
          <color indexed="64"/>
        </right>
        <top/>
        <bottom/>
        <vertical/>
        <horizontal/>
      </border>
    </dxf>
    <dxf>
      <numFmt numFmtId="0" formatCode="General"/>
      <border diagonalUp="0" diagonalDown="0">
        <left style="thin">
          <color indexed="64"/>
        </left>
        <right style="thin">
          <color indexed="64"/>
        </right>
        <top/>
        <bottom/>
        <vertical/>
        <horizontal/>
      </border>
    </dxf>
    <dxf>
      <numFmt numFmtId="0" formatCode="General"/>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0" formatCode="General"/>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family val="2"/>
        <scheme val="minor"/>
      </font>
      <alignment horizontal="center" vertical="top" textRotation="9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numFmt numFmtId="27" formatCode="dd/mm/yyyy\ hh:mm"/>
    </dxf>
    <dxf>
      <alignment horizontal="center" vertical="bottom" textRotation="0" wrapText="0" indent="0" justifyLastLine="0" shrinkToFit="0" readingOrder="0"/>
    </dxf>
    <dxf>
      <numFmt numFmtId="27" formatCode="dd/mm/yyyy\ hh:mm"/>
    </dxf>
    <dxf>
      <alignment horizontal="center" vertical="bottom" textRotation="0" wrapText="0" indent="0" justifyLastLine="0" shrinkToFit="0" readingOrder="0"/>
    </dxf>
    <dxf>
      <numFmt numFmtId="0" formatCode="General"/>
    </dxf>
    <dxf>
      <alignment horizontal="center" vertical="bottom" textRotation="0" wrapText="1" indent="0" justifyLastLine="0" shrinkToFit="0" readingOrder="0"/>
    </dxf>
    <dxf>
      <numFmt numFmtId="0" formatCode="General"/>
      <alignment horizontal="general" vertical="bottom" textRotation="0" wrapText="1" indent="0" justifyLastLine="0" shrinkToFit="0" readingOrder="0"/>
    </dxf>
    <dxf>
      <alignment horizontal="center" vertical="bottom" textRotation="0" wrapText="0" indent="0" justifyLastLine="0" shrinkToFit="0" readingOrder="0"/>
    </dxf>
    <dxf>
      <numFmt numFmtId="0" formatCode="General"/>
    </dxf>
    <dxf>
      <alignment horizontal="center" vertical="center" textRotation="0" wrapText="0" indent="0" justifyLastLine="0" shrinkToFit="0" readingOrder="0"/>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double">
          <color rgb="FF70AD47"/>
        </top>
        <bottom style="thin">
          <color rgb="FFA9D08E"/>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top" textRotation="90" wrapText="0" indent="0" justifyLastLine="0" shrinkToFit="0" readingOrder="0"/>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7" formatCode="dd/mm/yyyy\ hh:mm"/>
    </dxf>
    <dxf>
      <alignment horizontal="center" vertical="bottom" textRotation="0" wrapText="0" indent="0" justifyLastLine="0" shrinkToFit="0" readingOrder="0"/>
    </dxf>
    <dxf>
      <numFmt numFmtId="27" formatCode="dd/mm/yyyy\ hh:mm"/>
    </dxf>
    <dxf>
      <alignment horizontal="center" vertical="bottom" textRotation="0" wrapText="0" indent="0" justifyLastLine="0" shrinkToFit="0" readingOrder="0"/>
    </dxf>
    <dxf>
      <numFmt numFmtId="0" formatCode="General"/>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general"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general"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double">
          <color rgb="FF70AD47"/>
        </top>
        <bottom style="thin">
          <color rgb="FFA9D08E"/>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top" textRotation="9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7" formatCode="dd/mm/yyyy\ hh:mm"/>
    </dxf>
    <dxf>
      <alignment horizontal="center" vertical="bottom" textRotation="0" wrapText="0" indent="0" justifyLastLine="0" shrinkToFit="0" readingOrder="0"/>
    </dxf>
    <dxf>
      <numFmt numFmtId="27" formatCode="dd/mm/yyyy\ hh:mm"/>
    </dxf>
    <dxf>
      <alignment horizontal="center" vertical="bottom" textRotation="0" wrapText="0" indent="0" justifyLastLine="0" shrinkToFit="0" readingOrder="0"/>
    </dxf>
    <dxf>
      <numFmt numFmtId="0" formatCode="General"/>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double">
          <color rgb="FF70AD47"/>
        </top>
        <bottom style="thin">
          <color rgb="FFA9D08E"/>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top" textRotation="9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7" formatCode="dd/mm/yyyy\ hh:mm"/>
    </dxf>
    <dxf>
      <alignment horizontal="center" vertical="bottom" textRotation="0" wrapText="0" indent="0" justifyLastLine="0" shrinkToFit="0" readingOrder="0"/>
    </dxf>
    <dxf>
      <numFmt numFmtId="19" formatCode="dd/mm/yyyy"/>
    </dxf>
    <dxf>
      <alignment horizontal="center" vertical="bottom" textRotation="0" wrapText="0"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top" textRotation="9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9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double">
          <color rgb="FF70AD47"/>
        </top>
        <bottom style="thin">
          <color rgb="FFA9D08E"/>
        </bottom>
      </border>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0"/>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0"/>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0" formatCode="@"/>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top" textRotation="90" wrapText="0" indent="0" justifyLastLine="0" shrinkToFit="0" readingOrder="0"/>
    </dxf>
    <dxf>
      <numFmt numFmtId="0" formatCode="General"/>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27" formatCode="dd/mm/yyyy\ hh:mm"/>
    </dxf>
    <dxf>
      <numFmt numFmtId="27" formatCode="dd/mm/yyyy\ hh:mm"/>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1"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top" textRotation="9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0" xr16:uid="{6537445D-4453-4DB0-8316-9E9DEF947177}" autoFormatId="16" applyNumberFormats="0" applyBorderFormats="0" applyFontFormats="0" applyPatternFormats="0" applyAlignmentFormats="0" applyWidthHeightFormats="0">
  <queryTableRefresh nextId="122">
    <queryTableFields count="77">
      <queryTableField id="1" name="Kringdag" tableColumnId="1"/>
      <queryTableField id="2" name="Ver.nr" tableColumnId="2"/>
      <queryTableField id="3" name="Naam vereniging" tableColumnId="3"/>
      <queryTableField id="4" name="Delegatie" tableColumnId="4"/>
      <queryTableField id="5" name="Muziekkorps bij mars en defilé" tableColumnId="5"/>
      <queryTableField id="6" name="Deeln. jeugdkoningschieten" tableColumnId="6"/>
      <queryTableField id="7" name="Maj. Senioren jureren bij mars" tableColumnId="7"/>
      <queryTableField id="8" name="Maj. Jeugd jureren bij mars" tableColumnId="8"/>
      <queryTableField id="9" name="Korps senioren" tableColumnId="9"/>
      <queryTableField id="110" name="Junioren korps 1" tableColumnId="10"/>
      <queryTableField id="111" name="Junioren korps 2" tableColumnId="11"/>
      <queryTableField id="112" name="Aspiranten korps 1" tableColumnId="26"/>
      <queryTableField id="113" name="Aspiranten korps 2" tableColumnId="30"/>
      <queryTableField id="12" name="Acrobatisch senioren" tableColumnId="12"/>
      <queryTableField id="13" name="Acrobatisch junioren" tableColumnId="13"/>
      <queryTableField id="14" name="Acrobatisch aspiranten" tableColumnId="14"/>
      <queryTableField id="15" name="Show senioren" tableColumnId="15"/>
      <queryTableField id="16" name="Show junioren" tableColumnId="16"/>
      <queryTableField id="17" name="Show aspiranten" tableColumnId="17"/>
      <queryTableField id="18" name="Senioren indiv." tableColumnId="18"/>
      <queryTableField id="19" name="Junioren indiv." tableColumnId="19"/>
      <queryTableField id="20" name="Aspiranten indiv." tableColumnId="20"/>
      <queryTableField id="21" name="Sen. ind opgegeven namen" tableColumnId="21"/>
      <queryTableField id="22" name="Jun. ind opgegeven namen" tableColumnId="22"/>
      <queryTableField id="23" name="Asp. ind opgegeven namen" tableColumnId="23"/>
      <queryTableField id="24" name="Hoofdkorps" tableColumnId="24"/>
      <queryTableField id="25" name="2e korps" tableColumnId="25"/>
      <queryTableField id="78" name="Groepen, teams, ensembles en duo's" tableColumnId="31"/>
      <queryTableField id="27" name="Senioren" tableColumnId="27"/>
      <queryTableField id="79" name="Jong volwassene" tableColumnId="32"/>
      <queryTableField id="28" name="Junioren" tableColumnId="28"/>
      <queryTableField id="29" name="Aspiranten" tableColumnId="29"/>
      <queryTableField id="80" name="Opgegeven senioren" tableColumnId="35"/>
      <queryTableField id="81" name="Opgegeven jong volwassene" tableColumnId="37"/>
      <queryTableField id="82" name="Opgegeven junioren" tableColumnId="39"/>
      <queryTableField id="83" name="Opgegeven aspiranten" tableColumnId="41"/>
      <queryTableField id="33" name="Marketentsters" tableColumnId="33"/>
      <queryTableField id="34" name="Luchtgeweer" tableColumnId="34"/>
      <queryTableField id="84" name="Aantal luchtgeweerschutters" tableColumnId="42"/>
      <queryTableField id="36" name="Luchtpistool" tableColumnId="36"/>
      <queryTableField id="85" name="Aantal luchtpistoolschutters" tableColumnId="43"/>
      <queryTableField id="40" name="Handboog" tableColumnId="40"/>
      <queryTableField id="86" name="Aantal handboogschutters" tableColumnId="44"/>
      <queryTableField id="38" name="Kruisboog" tableColumnId="38"/>
      <queryTableField id="87" name="Aantal kruisboogschutters" tableColumnId="71"/>
      <queryTableField id="88" name="Luchtgeweer jeugd niet ouder dan 17 jaar." tableColumnId="72"/>
      <queryTableField id="89" name="Aantal korpsen" tableColumnId="73"/>
      <queryTableField id="90" name="Opgegeven jeugdkorpsen LG" tableColumnId="74"/>
      <queryTableField id="45" name="Totaal aantal deelnemers" tableColumnId="45"/>
      <queryTableField id="46" name="Waarvan aantal jeugd (t/m 15 jaar)" tableColumnId="46"/>
      <queryTableField id="47" name="Kanon etc." tableColumnId="47"/>
      <queryTableField id="48" name="Paarden en/of koetsen" tableColumnId="48"/>
      <queryTableField id="49" name="Toelichting/opmerkingen" tableColumnId="49"/>
      <queryTableField id="50" name="Inzending-ID" tableColumnId="50"/>
      <queryTableField id="51" name="Inzenddatum" tableColumnId="51"/>
      <queryTableField id="91" name="Date Updated" tableColumnId="75"/>
      <queryTableField id="52" name="Naam van het hoofdkorps" tableColumnId="52"/>
      <queryTableField id="53" name="Zal op treden als (hoofdkorps)" tableColumnId="53"/>
      <queryTableField id="54" name="Vorm van twee muziekwerken (hoofdkorps)" tableColumnId="54"/>
      <queryTableField id="55" name="Zal uitkomen in de: (hoofdkorps)" tableColumnId="55"/>
      <queryTableField id="56" name="Muziekwerk1 (hoofdkorps)" tableColumnId="56"/>
      <queryTableField id="57" name="Muziekwerk2 (hoofdkorps)" tableColumnId="57"/>
      <queryTableField id="58" name="Korps bestaat uit ... deelnemers (hoofdkorps)" tableColumnId="58"/>
      <queryTableField id="59" name="Naam van het 2e korps" tableColumnId="59"/>
      <queryTableField id="60" name="Zal op treden als (2e korps)" tableColumnId="60"/>
      <queryTableField id="61" name="Vorm van twee muziekwerken (2e korps)" tableColumnId="61"/>
      <queryTableField id="62" name="Zal uitkomen in de: (2e korps)" tableColumnId="62"/>
      <queryTableField id="63" name="Muziekwerk1 (2e korps)" tableColumnId="63"/>
      <queryTableField id="64" name="Muziekwerk2 (2e korps)" tableColumnId="64"/>
      <queryTableField id="65" name="Korps bestaat uit ... deelnemers (2e korps)" tableColumnId="65"/>
      <queryTableField id="69" name="Mechanische muziek" tableColumnId="69"/>
      <queryTableField id="66" name="Onderdelen" tableColumnId="66"/>
      <queryTableField id="67" name="Secties" tableColumnId="67"/>
      <queryTableField id="68" name="Leeftijdscategorie" tableColumnId="68"/>
      <queryTableField id="70" name="Aantal opgegeven majorettes" tableColumnId="70"/>
      <queryTableField id="120" name="Column1" tableColumnId="78"/>
      <queryTableField id="121" name="_332" tableColumnId="79"/>
    </queryTableFields>
    <queryTableDeletedFields count="2">
      <deletedField name="(HB) Berekend aantal opgegeven handboog schutters_272"/>
      <deletedField name="(LGJ) aantal jeugdkorpsen luchtgeweer in het profiel"/>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8" xr16:uid="{4116548B-C241-4E1D-B8B2-958C0EBF0029}" autoFormatId="16" applyNumberFormats="0" applyBorderFormats="0" applyFontFormats="0" applyPatternFormats="0" applyAlignmentFormats="0" applyWidthHeightFormats="0">
  <queryTableRefresh nextId="137">
    <queryTableFields count="75">
      <queryTableField id="1" name="Kringdag" tableColumnId="1"/>
      <queryTableField id="2" name="Ver.nr" tableColumnId="2"/>
      <queryTableField id="3" name="Naam vereniging" tableColumnId="3"/>
      <queryTableField id="4" name="Delegatie" tableColumnId="4"/>
      <queryTableField id="5" name="Muziekkorps bij mars en defilé" tableColumnId="5"/>
      <queryTableField id="6" name="Deeln. jeugdkoningschieten" tableColumnId="6"/>
      <queryTableField id="7" name="Maj. Senioren jureren bij mars" tableColumnId="7"/>
      <queryTableField id="8" name="Maj. Jeugd jureren bij mars" tableColumnId="8"/>
      <queryTableField id="9" name="Korps senioren" tableColumnId="9"/>
      <queryTableField id="120" name="Junioren korps 1" tableColumnId="10"/>
      <queryTableField id="121" name="Junioren korps 2" tableColumnId="11"/>
      <queryTableField id="122" name="Aspiranten korps 1" tableColumnId="26"/>
      <queryTableField id="123" name="Aspiranten korps 2" tableColumnId="30"/>
      <queryTableField id="12" name="Acrobatisch senioren" tableColumnId="12"/>
      <queryTableField id="13" name="Acrobatisch junioren" tableColumnId="13"/>
      <queryTableField id="14" name="Acrobatisch aspiranten" tableColumnId="14"/>
      <queryTableField id="15" name="Show senioren" tableColumnId="15"/>
      <queryTableField id="16" name="Show junioren" tableColumnId="16"/>
      <queryTableField id="17" name="Show aspiranten" tableColumnId="17"/>
      <queryTableField id="18" name="Senioren indiv." tableColumnId="18"/>
      <queryTableField id="19" name="Junioren indiv." tableColumnId="19"/>
      <queryTableField id="20" name="Aspiranten indiv." tableColumnId="20"/>
      <queryTableField id="21" name="Sen. ind opgegeven namen" tableColumnId="21"/>
      <queryTableField id="22" name="Jun. ind opgegeven namen" tableColumnId="22"/>
      <queryTableField id="23" name="Asp. ind opgegeven namen" tableColumnId="23"/>
      <queryTableField id="24" name="Hoofdkorps" tableColumnId="24"/>
      <queryTableField id="25" name="2e korps" tableColumnId="25"/>
      <queryTableField id="80" name="Groepen, teams, ensembles en duo's" tableColumnId="31"/>
      <queryTableField id="27" name="Senioren" tableColumnId="27"/>
      <queryTableField id="81" name="Jong volwassene" tableColumnId="32"/>
      <queryTableField id="28" name="Junioren" tableColumnId="28"/>
      <queryTableField id="29" name="Aspiranten" tableColumnId="29"/>
      <queryTableField id="82" name="Opgegeven senioren" tableColumnId="35"/>
      <queryTableField id="83" name="Opgegeven jong volwassene" tableColumnId="37"/>
      <queryTableField id="84" name="Opgegeven junioren" tableColumnId="39"/>
      <queryTableField id="85" name="Opgegeven aspiranten" tableColumnId="41"/>
      <queryTableField id="33" name="Marketentsters" tableColumnId="33"/>
      <queryTableField id="34" name="Luchtgeweer" tableColumnId="34"/>
      <queryTableField id="86" name="Aantal luchtgeweerschutters" tableColumnId="42"/>
      <queryTableField id="36" name="Luchtpistool" tableColumnId="36"/>
      <queryTableField id="87" name="Aantal luchtpistoolschutters" tableColumnId="43"/>
      <queryTableField id="40" name="Handboog" tableColumnId="40"/>
      <queryTableField id="88" name="Aantal handboogschutters" tableColumnId="44"/>
      <queryTableField id="38" name="Kruisboog" tableColumnId="38"/>
      <queryTableField id="89" name="Aantal kruisboogschutters" tableColumnId="71"/>
      <queryTableField id="90" name="Luchtgeweer jeugd niet ouder dan 17 jaar." tableColumnId="72"/>
      <queryTableField id="91" name="Aantal korpsen" tableColumnId="73"/>
      <queryTableField id="92" name="Opgegeven jeugdkorpsen LG" tableColumnId="74"/>
      <queryTableField id="45" name="Totaal aantal deelnemers" tableColumnId="45"/>
      <queryTableField id="46" name="Waarvan aantal jeugd (t/m 15 jaar)" tableColumnId="46"/>
      <queryTableField id="47" name="Kanon etc." tableColumnId="47"/>
      <queryTableField id="48" name="Paarden en/of koetsen" tableColumnId="48"/>
      <queryTableField id="49" name="Toelichting/opmerkingen" tableColumnId="49"/>
      <queryTableField id="50" name="Inzending-ID" tableColumnId="50"/>
      <queryTableField id="51" name="Inzenddatum" tableColumnId="51"/>
      <queryTableField id="93" name="Date Updated" tableColumnId="75"/>
      <queryTableField id="52" name="Naam van het hoofdkorps" tableColumnId="52"/>
      <queryTableField id="53" name="Zal op treden als (hoofdkorps)" tableColumnId="53"/>
      <queryTableField id="54" name="Vorm van twee muziekwerken (hoofdkorps)" tableColumnId="54"/>
      <queryTableField id="55" name="Zal uitkomen in de: (hoofdkorps)" tableColumnId="55"/>
      <queryTableField id="56" name="Muziekwerk1 (hoofdkorps)" tableColumnId="56"/>
      <queryTableField id="57" name="Muziekwerk2 (hoofdkorps)" tableColumnId="57"/>
      <queryTableField id="58" name="Korps bestaat uit ... deelnemers (hoofdkorps)" tableColumnId="58"/>
      <queryTableField id="59" name="Naam van het 2e korps" tableColumnId="59"/>
      <queryTableField id="60" name="Zal op treden als (2e korps)" tableColumnId="60"/>
      <queryTableField id="61" name="Vorm van twee muziekwerken (2e korps)" tableColumnId="61"/>
      <queryTableField id="62" name="Zal uitkomen in de: (2e korps)" tableColumnId="62"/>
      <queryTableField id="63" name="Muziekwerk1 (2e korps)" tableColumnId="63"/>
      <queryTableField id="64" name="Muziekwerk2 (2e korps)" tableColumnId="64"/>
      <queryTableField id="65" name="Korps bestaat uit ... deelnemers (2e korps)" tableColumnId="65"/>
      <queryTableField id="69" name="Mechanische muziek" tableColumnId="69"/>
      <queryTableField id="66" name="Onderdelen" tableColumnId="66"/>
      <queryTableField id="67" name="Secties" tableColumnId="67"/>
      <queryTableField id="68" name="Leeftijdscategorie" tableColumnId="68"/>
      <queryTableField id="70" name="Aantal opgegeven majorettes" tableColumnId="70"/>
    </queryTableFields>
    <queryTableDeletedFields count="9">
      <deletedField name="_332"/>
      <deletedField name="_333"/>
      <deletedField name="_334"/>
      <deletedField name="_335"/>
      <deletedField name="_336"/>
      <deletedField name="_337"/>
      <deletedField name="_338"/>
      <deletedField name="_339"/>
      <deletedField name="_340"/>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7" xr16:uid="{5B19EFD5-E340-4CAD-A90F-3AF19A96AD11}" autoFormatId="16" applyNumberFormats="0" applyBorderFormats="0" applyFontFormats="0" applyPatternFormats="0" applyAlignmentFormats="0" applyWidthHeightFormats="0">
  <queryTableRefresh nextId="126">
    <queryTableFields count="75">
      <queryTableField id="1" name="Kringdag" tableColumnId="1"/>
      <queryTableField id="2" name="Ver.nr" tableColumnId="2"/>
      <queryTableField id="3" name="Naam vereniging" tableColumnId="3"/>
      <queryTableField id="4" name="Delegatie" tableColumnId="4"/>
      <queryTableField id="5" name="Muziekkorps bij mars en defilé" tableColumnId="5"/>
      <queryTableField id="6" name="Deeln. jeugdkoningschieten" tableColumnId="6"/>
      <queryTableField id="7" name="Maj. Senioren jureren bij mars" tableColumnId="7"/>
      <queryTableField id="8" name="Maj. Jeugd jureren bij mars" tableColumnId="8"/>
      <queryTableField id="9" name="Korps senioren" tableColumnId="9"/>
      <queryTableField id="118" name="Junioren korps 1" tableColumnId="10"/>
      <queryTableField id="119" name="Junioren korps 2" tableColumnId="11"/>
      <queryTableField id="120" name="Aspiranten korps 1" tableColumnId="26"/>
      <queryTableField id="121" name="Aspiranten korps 2" tableColumnId="30"/>
      <queryTableField id="12" name="Acrobatisch senioren" tableColumnId="12"/>
      <queryTableField id="13" name="Acrobatisch junioren" tableColumnId="13"/>
      <queryTableField id="14" name="Acrobatisch aspiranten" tableColumnId="14"/>
      <queryTableField id="15" name="Show senioren" tableColumnId="15"/>
      <queryTableField id="16" name="Show junioren" tableColumnId="16"/>
      <queryTableField id="17" name="Show aspiranten" tableColumnId="17"/>
      <queryTableField id="18" name="Senioren indiv." tableColumnId="18"/>
      <queryTableField id="19" name="Junioren indiv." tableColumnId="19"/>
      <queryTableField id="20" name="Aspiranten indiv." tableColumnId="20"/>
      <queryTableField id="21" name="Sen. ind opgegeven namen" tableColumnId="21"/>
      <queryTableField id="22" name="Jun. ind opgegeven namen" tableColumnId="22"/>
      <queryTableField id="23" name="Asp. ind opgegeven namen" tableColumnId="23"/>
      <queryTableField id="24" name="Hoofdkorps" tableColumnId="24"/>
      <queryTableField id="25" name="2e korps" tableColumnId="25"/>
      <queryTableField id="86" name="Groepen, teams, ensembles en duo's" tableColumnId="31"/>
      <queryTableField id="27" name="Senioren" tableColumnId="27"/>
      <queryTableField id="87" name="Jong volwassene" tableColumnId="32"/>
      <queryTableField id="28" name="Junioren" tableColumnId="28"/>
      <queryTableField id="29" name="Aspiranten" tableColumnId="29"/>
      <queryTableField id="88" name="Opgegeven senioren" tableColumnId="35"/>
      <queryTableField id="89" name="Opgegeven jong volwassene" tableColumnId="37"/>
      <queryTableField id="90" name="Opgegeven junioren" tableColumnId="39"/>
      <queryTableField id="91" name="Opgegeven aspiranten" tableColumnId="41"/>
      <queryTableField id="33" name="Marketentsters" tableColumnId="33"/>
      <queryTableField id="34" name="Luchtgeweer" tableColumnId="34"/>
      <queryTableField id="92" name="Aantal luchtgeweerschutters" tableColumnId="42"/>
      <queryTableField id="36" name="Luchtpistool" tableColumnId="36"/>
      <queryTableField id="93" name="Aantal luchtpistoolschutters" tableColumnId="43"/>
      <queryTableField id="40" name="Handboog" tableColumnId="40"/>
      <queryTableField id="94" name="Aantal handboogschutters" tableColumnId="44"/>
      <queryTableField id="38" name="Kruisboog" tableColumnId="38"/>
      <queryTableField id="95" name="Aantal kruisboogschutters" tableColumnId="71"/>
      <queryTableField id="96" name="Luchtgeweer jeugd niet ouder dan 17 jaar." tableColumnId="72"/>
      <queryTableField id="97" name="Aantal korpsen" tableColumnId="73"/>
      <queryTableField id="98" name="Opgegeven jeugdkorpsen LG" tableColumnId="74"/>
      <queryTableField id="45" name="Totaal aantal deelnemers" tableColumnId="45"/>
      <queryTableField id="46" name="Waarvan aantal jeugd (t/m 15 jaar)" tableColumnId="46"/>
      <queryTableField id="47" name="Kanon etc." tableColumnId="47"/>
      <queryTableField id="48" name="Paarden en/of koetsen" tableColumnId="48"/>
      <queryTableField id="49" name="Toelichting/opmerkingen" tableColumnId="49"/>
      <queryTableField id="50" name="Inzending-ID" tableColumnId="50"/>
      <queryTableField id="51" name="Inzenddatum" tableColumnId="51"/>
      <queryTableField id="99" name="Date Updated" tableColumnId="75"/>
      <queryTableField id="52" name="Naam van het hoofdkorps" tableColumnId="52"/>
      <queryTableField id="53" name="Zal op treden als (hoofdkorps)" tableColumnId="53"/>
      <queryTableField id="54" name="Vorm van twee muziekwerken (hoofdkorps)" tableColumnId="54"/>
      <queryTableField id="55" name="Zal uitkomen in de: (hoofdkorps)" tableColumnId="55"/>
      <queryTableField id="56" name="Muziekwerk1 (hoofdkorps)" tableColumnId="56"/>
      <queryTableField id="57" name="Muziekwerk2 (hoofdkorps)" tableColumnId="57"/>
      <queryTableField id="58" name="Korps bestaat uit ... deelnemers (hoofdkorps)" tableColumnId="58"/>
      <queryTableField id="59" name="Naam van het 2e korps" tableColumnId="59"/>
      <queryTableField id="60" name="Zal op treden als (2e korps)" tableColumnId="60"/>
      <queryTableField id="61" name="Vorm van twee muziekwerken (2e korps)" tableColumnId="61"/>
      <queryTableField id="62" name="Zal uitkomen in de: (2e korps)" tableColumnId="62"/>
      <queryTableField id="63" name="Muziekwerk1 (2e korps)" tableColumnId="63"/>
      <queryTableField id="64" name="Muziekwerk2 (2e korps)" tableColumnId="64"/>
      <queryTableField id="65" name="Korps bestaat uit ... deelnemers (2e korps)" tableColumnId="65"/>
      <queryTableField id="69" name="Mechanische muziek" tableColumnId="69"/>
      <queryTableField id="66" name="Onderdelen" tableColumnId="66"/>
      <queryTableField id="67" name="Secties" tableColumnId="67"/>
      <queryTableField id="68" name="Leeftijdscategorie" tableColumnId="68"/>
      <queryTableField id="70" name="Aantal opgegeven majorettes" tableColumnId="70"/>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6" xr16:uid="{D0B5E214-FED8-4DC1-95B8-1899AE77FF69}" autoFormatId="16" applyNumberFormats="0" applyBorderFormats="0" applyFontFormats="0" applyPatternFormats="0" applyAlignmentFormats="0" applyWidthHeightFormats="0">
  <queryTableRefresh nextId="126">
    <queryTableFields count="76">
      <queryTableField id="1" name="Kringdag" tableColumnId="1"/>
      <queryTableField id="2" name="Ver.nr" tableColumnId="2"/>
      <queryTableField id="3" name="Naam vereniging" tableColumnId="3"/>
      <queryTableField id="4" name="Delegatie" tableColumnId="4"/>
      <queryTableField id="5" name="Muziekkorps bij mars en defilé" tableColumnId="5"/>
      <queryTableField id="6" name="Deeln. jeugdkoningschieten" tableColumnId="6"/>
      <queryTableField id="7" name="Maj. Senioren jureren bij mars" tableColumnId="7"/>
      <queryTableField id="8" name="Maj. Jeugd jureren bij mars" tableColumnId="8"/>
      <queryTableField id="9" name="Korps senioren" tableColumnId="9"/>
      <queryTableField id="112" name="Junioren korps 1" tableColumnId="10"/>
      <queryTableField id="113" name="Junioren korps 2" tableColumnId="11"/>
      <queryTableField id="114" name="Aspiranten korps 1" tableColumnId="26"/>
      <queryTableField id="115" name="Aspiranten korps 2" tableColumnId="30"/>
      <queryTableField id="12" name="Acrobatisch senioren" tableColumnId="12"/>
      <queryTableField id="13" name="Acrobatisch junioren" tableColumnId="13"/>
      <queryTableField id="14" name="Acrobatisch aspiranten" tableColumnId="14"/>
      <queryTableField id="15" name="Show senioren" tableColumnId="15"/>
      <queryTableField id="16" name="Show junioren" tableColumnId="16"/>
      <queryTableField id="17" name="Show aspiranten" tableColumnId="17"/>
      <queryTableField id="18" name="Senioren indiv." tableColumnId="18"/>
      <queryTableField id="19" name="Junioren indiv." tableColumnId="19"/>
      <queryTableField id="20" name="Aspiranten indiv." tableColumnId="20"/>
      <queryTableField id="21" name="Sen. ind opgegeven namen" tableColumnId="21"/>
      <queryTableField id="22" name="Jun. ind opgegeven namen" tableColumnId="22"/>
      <queryTableField id="23" name="Asp. ind opgegeven namen" tableColumnId="23"/>
      <queryTableField id="24" name="Hoofdkorps" tableColumnId="24"/>
      <queryTableField id="25" name="2e korps" tableColumnId="25"/>
      <queryTableField id="80" name="Groepen, teams, ensembles en duo's" tableColumnId="31"/>
      <queryTableField id="27" name="Senioren" tableColumnId="27"/>
      <queryTableField id="81" name="Jong volwassene" tableColumnId="32"/>
      <queryTableField id="28" name="Junioren" tableColumnId="28"/>
      <queryTableField id="29" name="Aspiranten" tableColumnId="29"/>
      <queryTableField id="82" name="Opgegeven senioren" tableColumnId="35"/>
      <queryTableField id="83" name="Opgegeven jong volwassene" tableColumnId="37"/>
      <queryTableField id="84" name="Opgegeven junioren" tableColumnId="39"/>
      <queryTableField id="85" name="Opgegeven aspiranten" tableColumnId="41"/>
      <queryTableField id="33" name="Marketentsters" tableColumnId="33"/>
      <queryTableField id="34" name="Luchtgeweer" tableColumnId="34"/>
      <queryTableField id="86" name="Aantal luchtgeweerschutters" tableColumnId="42"/>
      <queryTableField id="36" name="Luchtpistool" tableColumnId="36"/>
      <queryTableField id="87" name="Aantal luchtpistoolschutters" tableColumnId="43"/>
      <queryTableField id="40" name="Handboog" tableColumnId="40"/>
      <queryTableField id="88" name="Aantal handboogschutters" tableColumnId="44"/>
      <queryTableField id="38" name="Kruisboog" tableColumnId="38"/>
      <queryTableField id="89" name="Aantal kruisboogschutters" tableColumnId="71"/>
      <queryTableField id="90" name="Luchtgeweer jeugd niet ouder dan 17 jaar." tableColumnId="72"/>
      <queryTableField id="91" name="Aantal korpsen" tableColumnId="73"/>
      <queryTableField id="92" name="Opgegeven jeugdkorpsen LG" tableColumnId="74"/>
      <queryTableField id="45" name="Totaal aantal deelnemers" tableColumnId="45"/>
      <queryTableField id="46" name="Waarvan aantal jeugd (t/m 15 jaar)" tableColumnId="46"/>
      <queryTableField id="47" name="Kanon etc." tableColumnId="47"/>
      <queryTableField id="48" name="Paarden en/of koetsen" tableColumnId="48"/>
      <queryTableField id="49" name="Toelichting/opmerkingen" tableColumnId="49"/>
      <queryTableField id="50" name="Inzending-ID" tableColumnId="50"/>
      <queryTableField id="51" name="Inzenddatum" tableColumnId="51"/>
      <queryTableField id="93" name="Date Updated" tableColumnId="75"/>
      <queryTableField id="52" name="Naam van het hoofdkorps" tableColumnId="52"/>
      <queryTableField id="53" name="Zal op treden als (hoofdkorps)" tableColumnId="53"/>
      <queryTableField id="54" name="Vorm van twee muziekwerken (hoofdkorps)" tableColumnId="54"/>
      <queryTableField id="55" name="Zal uitkomen in de: (hoofdkorps)" tableColumnId="55"/>
      <queryTableField id="56" name="Muziekwerk1 (hoofdkorps)" tableColumnId="56"/>
      <queryTableField id="57" name="Muziekwerk2 (hoofdkorps)" tableColumnId="57"/>
      <queryTableField id="58" name="Korps bestaat uit ... deelnemers (hoofdkorps)" tableColumnId="58"/>
      <queryTableField id="59" name="Naam van het 2e korps" tableColumnId="59"/>
      <queryTableField id="60" name="Zal op treden als (2e korps)" tableColumnId="60"/>
      <queryTableField id="61" name="Vorm van twee muziekwerken (2e korps)" tableColumnId="61"/>
      <queryTableField id="62" name="Zal uitkomen in de: (2e korps)" tableColumnId="62"/>
      <queryTableField id="63" name="Muziekwerk1 (2e korps)" tableColumnId="63"/>
      <queryTableField id="64" name="Muziekwerk2 (2e korps)" tableColumnId="64"/>
      <queryTableField id="65" name="Korps bestaat uit ... deelnemers (2e korps)" tableColumnId="65"/>
      <queryTableField id="69" name="Mechanische muziek" tableColumnId="69"/>
      <queryTableField id="66" name="Onderdelen" tableColumnId="66"/>
      <queryTableField id="67" name="Secties" tableColumnId="67"/>
      <queryTableField id="68" name="Leeftijdscategorie" tableColumnId="68"/>
      <queryTableField id="70" name="Aantal opgegeven majorettes" tableColumnId="70"/>
      <queryTableField id="124" name="Column1" tableColumnId="78"/>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9" xr16:uid="{1774D010-A1C6-4AFF-A232-696AEE801FDB}" autoFormatId="16" applyNumberFormats="0" applyBorderFormats="0" applyFontFormats="0" applyPatternFormats="0" applyAlignmentFormats="0" applyWidthHeightFormats="0">
  <queryTableRefresh nextId="114">
    <queryTableFields count="75">
      <queryTableField id="1" name="Kringdag" tableColumnId="1"/>
      <queryTableField id="2" name="Ver.nr" tableColumnId="2"/>
      <queryTableField id="3" name="Naam vereniging" tableColumnId="3"/>
      <queryTableField id="4" name="Delegatie" tableColumnId="4"/>
      <queryTableField id="5" name="Muziekkorps bij mars en defilé" tableColumnId="5"/>
      <queryTableField id="6" name="Deeln. jeugdkoningschieten" tableColumnId="6"/>
      <queryTableField id="7" name="Maj. Senioren jureren bij mars" tableColumnId="7"/>
      <queryTableField id="8" name="Maj. Jeugd jureren bij mars" tableColumnId="8"/>
      <queryTableField id="9" name="Korps senioren" tableColumnId="9"/>
      <queryTableField id="106" name="Junioren korps 1" tableColumnId="10"/>
      <queryTableField id="107" name="Junioren korps 2" tableColumnId="11"/>
      <queryTableField id="108" name="Aspiranten korps 1" tableColumnId="26"/>
      <queryTableField id="109" name="Aspiranten korps 2" tableColumnId="30"/>
      <queryTableField id="12" name="Acrobatisch senioren" tableColumnId="12"/>
      <queryTableField id="13" name="Acrobatisch junioren" tableColumnId="13"/>
      <queryTableField id="14" name="Acrobatisch aspiranten" tableColumnId="14"/>
      <queryTableField id="15" name="Show senioren" tableColumnId="15"/>
      <queryTableField id="16" name="Show junioren" tableColumnId="16"/>
      <queryTableField id="17" name="Show aspiranten" tableColumnId="17"/>
      <queryTableField id="18" name="Senioren indiv." tableColumnId="18"/>
      <queryTableField id="19" name="Junioren indiv." tableColumnId="19"/>
      <queryTableField id="20" name="Aspiranten indiv." tableColumnId="20"/>
      <queryTableField id="21" name="Sen. ind opgegeven namen" tableColumnId="21"/>
      <queryTableField id="22" name="Jun. ind opgegeven namen" tableColumnId="22"/>
      <queryTableField id="23" name="Asp. ind opgegeven namen" tableColumnId="23"/>
      <queryTableField id="24" name="Hoofdkorps" tableColumnId="24"/>
      <queryTableField id="25" name="2e korps" tableColumnId="25"/>
      <queryTableField id="74" name="Groepen, teams, ensembles en duo's" tableColumnId="31"/>
      <queryTableField id="27" name="Senioren" tableColumnId="27"/>
      <queryTableField id="75" name="Jong volwassene" tableColumnId="32"/>
      <queryTableField id="28" name="Junioren" tableColumnId="28"/>
      <queryTableField id="29" name="Aspiranten" tableColumnId="29"/>
      <queryTableField id="76" name="Opgegeven senioren" tableColumnId="35"/>
      <queryTableField id="77" name="Opgegeven jong volwassene" tableColumnId="37"/>
      <queryTableField id="78" name="Opgegeven junioren" tableColumnId="39"/>
      <queryTableField id="79" name="Opgegeven aspiranten" tableColumnId="41"/>
      <queryTableField id="33" name="Marketentsters" tableColumnId="33"/>
      <queryTableField id="34" name="Luchtgeweer" tableColumnId="34"/>
      <queryTableField id="80" name="Aantal luchtgeweerschutters" tableColumnId="42"/>
      <queryTableField id="36" name="Luchtpistool" tableColumnId="36"/>
      <queryTableField id="81" name="Aantal luchtpistoolschutters" tableColumnId="43"/>
      <queryTableField id="40" name="Handboog" tableColumnId="40"/>
      <queryTableField id="82" name="Aantal handboogschutters" tableColumnId="44"/>
      <queryTableField id="38" name="Kruisboog" tableColumnId="38"/>
      <queryTableField id="83" name="Aantal kruisboogschutters" tableColumnId="71"/>
      <queryTableField id="84" name="Luchtgeweer jeugd niet ouder dan 17 jaar." tableColumnId="72"/>
      <queryTableField id="85" name="Aantal korpsen" tableColumnId="73"/>
      <queryTableField id="86" name="Opgegeven jeugdkorpsen LG" tableColumnId="74"/>
      <queryTableField id="45" name="Totaal aantal deelnemers" tableColumnId="45"/>
      <queryTableField id="46" name="Waarvan aantal jeugd (t/m 15 jaar)" tableColumnId="46"/>
      <queryTableField id="47" name="Kanon etc." tableColumnId="47"/>
      <queryTableField id="48" name="Paarden en/of koetsen" tableColumnId="48"/>
      <queryTableField id="49" name="Toelichting/opmerkingen" tableColumnId="49"/>
      <queryTableField id="50" name="Inzending-ID" tableColumnId="50"/>
      <queryTableField id="51" name="Inzenddatum" tableColumnId="51"/>
      <queryTableField id="87" name="Date Updated" tableColumnId="75"/>
      <queryTableField id="52" name="Naam van het hoofdkorps" tableColumnId="52"/>
      <queryTableField id="53" name="Zal op treden als (hoofdkorps)" tableColumnId="53"/>
      <queryTableField id="54" name="Vorm van twee muziekwerken (hoofdkorps)" tableColumnId="54"/>
      <queryTableField id="55" name="Zal uitkomen in de: (hoofdkorps)" tableColumnId="55"/>
      <queryTableField id="56" name="Muziekwerk1 (hoofdkorps)" tableColumnId="56"/>
      <queryTableField id="57" name="Muziekwerk2 (hoofdkorps)" tableColumnId="57"/>
      <queryTableField id="58" name="Korps bestaat uit ... deelnemers (hoofdkorps)" tableColumnId="58"/>
      <queryTableField id="59" name="Naam van het 2e korps" tableColumnId="59"/>
      <queryTableField id="60" name="Zal op treden als (2e korps)" tableColumnId="60"/>
      <queryTableField id="61" name="Vorm van twee muziekwerken (2e korps)" tableColumnId="61"/>
      <queryTableField id="62" name="Zal uitkomen in de: (2e korps)" tableColumnId="62"/>
      <queryTableField id="63" name="Muziekwerk1 (2e korps)" tableColumnId="63"/>
      <queryTableField id="64" name="Muziekwerk2 (2e korps)" tableColumnId="64"/>
      <queryTableField id="65" name="Korps bestaat uit ... deelnemers (2e korps)" tableColumnId="65"/>
      <queryTableField id="69" name="Mechanische muziek" tableColumnId="69"/>
      <queryTableField id="66" name="Onderdelen" tableColumnId="66"/>
      <queryTableField id="67" name="Secties" tableColumnId="67"/>
      <queryTableField id="68" name="Leeftijdscategorie" tableColumnId="68"/>
      <queryTableField id="70" name="Aantal opgegeven majorettes" tableColumnId="70"/>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eGegevens_4" connectionId="11" xr16:uid="{E848E844-2661-4E26-B55F-7E83745BD4BB}" autoFormatId="16" applyNumberFormats="0" applyBorderFormats="0" applyFontFormats="0" applyPatternFormats="0" applyAlignmentFormats="0" applyWidthHeightFormats="0">
  <queryTableRefresh nextId="112">
    <queryTableFields count="75">
      <queryTableField id="1" name="Kringdag" tableColumnId="1"/>
      <queryTableField id="2" name="Ver.nr" tableColumnId="2"/>
      <queryTableField id="3" name="Naam vereniging" tableColumnId="3"/>
      <queryTableField id="4" name="Delegatie" tableColumnId="4"/>
      <queryTableField id="5" name="Muziekkorps bij mars en defilé" tableColumnId="5"/>
      <queryTableField id="6" name="Deeln. jeugdkoningschieten" tableColumnId="6"/>
      <queryTableField id="7" name="Maj. Senioren jureren bij mars" tableColumnId="7"/>
      <queryTableField id="8" name="Maj. Jeugd jureren bij mars" tableColumnId="8"/>
      <queryTableField id="9" name="Korps senioren" tableColumnId="9"/>
      <queryTableField id="104" name="Junioren korps 1" tableColumnId="10"/>
      <queryTableField id="105" name="Junioren korps 2" tableColumnId="11"/>
      <queryTableField id="106" name="Aspiranten korps 1" tableColumnId="26"/>
      <queryTableField id="107" name="Aspiranten korps 2" tableColumnId="30"/>
      <queryTableField id="12" name="Acrobatisch senioren" tableColumnId="12"/>
      <queryTableField id="13" name="Acrobatisch junioren" tableColumnId="13"/>
      <queryTableField id="14" name="Acrobatisch aspiranten" tableColumnId="14"/>
      <queryTableField id="15" name="Show senioren" tableColumnId="15"/>
      <queryTableField id="16" name="Show junioren" tableColumnId="16"/>
      <queryTableField id="17" name="Show aspiranten" tableColumnId="17"/>
      <queryTableField id="18" name="Senioren indiv." tableColumnId="18"/>
      <queryTableField id="19" name="Junioren indiv." tableColumnId="19"/>
      <queryTableField id="20" name="Aspiranten indiv." tableColumnId="20"/>
      <queryTableField id="21" name="Sen. ind opgegeven namen" tableColumnId="21"/>
      <queryTableField id="22" name="Jun. ind opgegeven namen" tableColumnId="22"/>
      <queryTableField id="23" name="Asp. ind opgegeven namen" tableColumnId="23"/>
      <queryTableField id="24" name="Hoofdkorps" tableColumnId="24"/>
      <queryTableField id="25" name="2e korps" tableColumnId="25"/>
      <queryTableField id="72" name="Groepen, teams, ensembles en duo's" tableColumnId="31"/>
      <queryTableField id="27" name="Senioren" tableColumnId="27"/>
      <queryTableField id="73" name="Jong volwassene" tableColumnId="32"/>
      <queryTableField id="28" name="Junioren" tableColumnId="28"/>
      <queryTableField id="29" name="Aspiranten" tableColumnId="29"/>
      <queryTableField id="74" name="Opgegeven senioren" tableColumnId="38"/>
      <queryTableField id="75" name="Opgegeven jong volwassene" tableColumnId="39"/>
      <queryTableField id="76" name="Opgegeven junioren" tableColumnId="66"/>
      <queryTableField id="77" name="Opgegeven aspiranten" tableColumnId="67"/>
      <queryTableField id="33" name="Marketentsters" tableColumnId="33"/>
      <queryTableField id="34" name="Luchtgeweer" tableColumnId="34"/>
      <queryTableField id="78" name="Aantal luchtgeweerschutters" tableColumnId="68"/>
      <queryTableField id="35" name="Luchtpistool" tableColumnId="35"/>
      <queryTableField id="79" name="Aantal luchtpistoolschutters" tableColumnId="69"/>
      <queryTableField id="37" name="Handboog" tableColumnId="37"/>
      <queryTableField id="80" name="Aantal handboogschutters" tableColumnId="70"/>
      <queryTableField id="36" name="Kruisboog" tableColumnId="36"/>
      <queryTableField id="81" name="Aantal kruisboogschutters" tableColumnId="71"/>
      <queryTableField id="82" name="Luchtgeweer jeugd niet ouder dan 17 jaar." tableColumnId="72"/>
      <queryTableField id="83" name="Aantal korpsen" tableColumnId="73"/>
      <queryTableField id="84" name="Opgegeven jeugdkorpsen LG" tableColumnId="74"/>
      <queryTableField id="40" name="Totaal aantal deelnemers" tableColumnId="40"/>
      <queryTableField id="41" name="Waarvan aantal jeugd (t/m 15 jaar)" tableColumnId="41"/>
      <queryTableField id="42" name="Kanon etc." tableColumnId="42"/>
      <queryTableField id="43" name="Paarden en/of koetsen" tableColumnId="43"/>
      <queryTableField id="44" name="Toelichting/opmerkingen" tableColumnId="44"/>
      <queryTableField id="45" name="Inzending-ID" tableColumnId="45"/>
      <queryTableField id="46" name="Inzenddatum" tableColumnId="46"/>
      <queryTableField id="85" name="Date Updated" tableColumnId="75"/>
      <queryTableField id="47" name="Naam van het hoofdkorps" tableColumnId="47"/>
      <queryTableField id="48" name="Zal op treden als (hoofdkorps)" tableColumnId="48"/>
      <queryTableField id="49" name="Vorm van twee muziekwerken (hoofdkorps)" tableColumnId="49"/>
      <queryTableField id="50" name="Zal uitkomen in de: (hoofdkorps)" tableColumnId="50"/>
      <queryTableField id="51" name="Muziekwerk1 (hoofdkorps)" tableColumnId="51"/>
      <queryTableField id="52" name="Muziekwerk2 (hoofdkorps)" tableColumnId="52"/>
      <queryTableField id="53" name="Korps bestaat uit ... deelnemers (hoofdkorps)" tableColumnId="53"/>
      <queryTableField id="54" name="Naam van het 2e korps" tableColumnId="54"/>
      <queryTableField id="55" name="Zal op treden als (2e korps)" tableColumnId="55"/>
      <queryTableField id="56" name="Vorm van twee muziekwerken (2e korps)" tableColumnId="56"/>
      <queryTableField id="57" name="Zal uitkomen in de: (2e korps)" tableColumnId="57"/>
      <queryTableField id="58" name="Muziekwerk1 (2e korps)" tableColumnId="58"/>
      <queryTableField id="59" name="Muziekwerk2 (2e korps)" tableColumnId="59"/>
      <queryTableField id="60" name="Korps bestaat uit ... deelnemers (2e korps)" tableColumnId="60"/>
      <queryTableField id="64" name="Mechanische muziek" tableColumnId="64"/>
      <queryTableField id="61" name="Onderdelen" tableColumnId="61"/>
      <queryTableField id="62" name="Secties" tableColumnId="62"/>
      <queryTableField id="63" name="Leeftijdscategorie" tableColumnId="63"/>
      <queryTableField id="65" name="Aantal opgegeven majorettes" tableColumnId="65"/>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1" connectionId="4" xr16:uid="{0C2B39FD-CD34-4C45-8EFD-FD45938D9BB9}" autoFormatId="16" applyNumberFormats="0" applyBorderFormats="0" applyFontFormats="0" applyPatternFormats="0" applyAlignmentFormats="0" applyWidthHeightFormats="0">
  <queryTableRefresh nextId="114">
    <queryTableFields count="75">
      <queryTableField id="1" name="Kringdag" tableColumnId="1"/>
      <queryTableField id="2" name="Ver.nr" tableColumnId="2"/>
      <queryTableField id="3" name="Naam vereniging" tableColumnId="3"/>
      <queryTableField id="4" name="Delegatie" tableColumnId="4"/>
      <queryTableField id="5" name="Muziekkorps bij mars en defilé" tableColumnId="5"/>
      <queryTableField id="6" name="Deeln. jeugdkoningschieten" tableColumnId="6"/>
      <queryTableField id="7" name="Maj. Senioren jureren bij mars" tableColumnId="7"/>
      <queryTableField id="8" name="Maj. Jeugd jureren bij mars" tableColumnId="8"/>
      <queryTableField id="9" name="Korps senioren" tableColumnId="9"/>
      <queryTableField id="106" name="Junioren korps 1" tableColumnId="10"/>
      <queryTableField id="107" name="Junioren korps 2" tableColumnId="11"/>
      <queryTableField id="108" name="Aspiranten korps 1" tableColumnId="26"/>
      <queryTableField id="109" name="Aspiranten korps 2" tableColumnId="30"/>
      <queryTableField id="12" name="Acrobatisch senioren" tableColumnId="12"/>
      <queryTableField id="13" name="Acrobatisch junioren" tableColumnId="13"/>
      <queryTableField id="14" name="Acrobatisch aspiranten" tableColumnId="14"/>
      <queryTableField id="15" name="Show senioren" tableColumnId="15"/>
      <queryTableField id="16" name="Show junioren" tableColumnId="16"/>
      <queryTableField id="17" name="Show aspiranten" tableColumnId="17"/>
      <queryTableField id="18" name="Senioren indiv." tableColumnId="18"/>
      <queryTableField id="19" name="Junioren indiv." tableColumnId="19"/>
      <queryTableField id="20" name="Aspiranten indiv." tableColumnId="20"/>
      <queryTableField id="21" name="Sen. ind opgegeven namen" tableColumnId="21"/>
      <queryTableField id="22" name="Jun. ind opgegeven namen" tableColumnId="22"/>
      <queryTableField id="23" name="Asp. ind opgegeven namen" tableColumnId="23"/>
      <queryTableField id="24" name="Hoofdkorps" tableColumnId="24"/>
      <queryTableField id="25" name="2e korps" tableColumnId="25"/>
      <queryTableField id="74" name="Groepen, teams, ensembles en duo's" tableColumnId="31"/>
      <queryTableField id="27" name="Senioren" tableColumnId="27"/>
      <queryTableField id="75" name="Jong volwassene" tableColumnId="32"/>
      <queryTableField id="28" name="Junioren" tableColumnId="28"/>
      <queryTableField id="29" name="Aspiranten" tableColumnId="29"/>
      <queryTableField id="76" name="Opgegeven senioren" tableColumnId="35"/>
      <queryTableField id="77" name="Opgegeven jong volwassene" tableColumnId="37"/>
      <queryTableField id="78" name="Opgegeven junioren" tableColumnId="39"/>
      <queryTableField id="79" name="Opgegeven aspiranten" tableColumnId="41"/>
      <queryTableField id="33" name="Marketentsters" tableColumnId="33"/>
      <queryTableField id="34" name="Luchtgeweer" tableColumnId="34"/>
      <queryTableField id="80" name="Aantal luchtgeweerschutters" tableColumnId="42"/>
      <queryTableField id="36" name="Luchtpistool" tableColumnId="36"/>
      <queryTableField id="81" name="Aantal luchtpistoolschutters" tableColumnId="43"/>
      <queryTableField id="40" name="Handboog" tableColumnId="40"/>
      <queryTableField id="82" name="Aantal handboogschutters" tableColumnId="44"/>
      <queryTableField id="38" name="Kruisboog" tableColumnId="38"/>
      <queryTableField id="83" name="Aantal kruisboogschutters" tableColumnId="71"/>
      <queryTableField id="84" name="Luchtgeweer jeugd niet ouder dan 17 jaar." tableColumnId="72"/>
      <queryTableField id="85" name="Aantal korpsen" tableColumnId="73"/>
      <queryTableField id="86" name="Opgegeven jeugdkorpsen LG" tableColumnId="74"/>
      <queryTableField id="45" name="Totaal aantal deelnemers" tableColumnId="45"/>
      <queryTableField id="46" name="Waarvan aantal jeugd (t/m 15 jaar)" tableColumnId="46"/>
      <queryTableField id="47" name="Kanon etc." tableColumnId="47"/>
      <queryTableField id="48" name="Paarden en/of koetsen" tableColumnId="48"/>
      <queryTableField id="49" name="Toelichting/opmerkingen" tableColumnId="49"/>
      <queryTableField id="50" name="Inzending-ID" tableColumnId="50"/>
      <queryTableField id="51" name="Inzenddatum" tableColumnId="51"/>
      <queryTableField id="87" name="Date Updated" tableColumnId="75"/>
      <queryTableField id="52" name="Naam van het hoofdkorps" tableColumnId="52"/>
      <queryTableField id="53" name="Zal op treden als (hoofdkorps)" tableColumnId="53"/>
      <queryTableField id="54" name="Vorm van twee muziekwerken (hoofdkorps)" tableColumnId="54"/>
      <queryTableField id="55" name="Zal uitkomen in de: (hoofdkorps)" tableColumnId="55"/>
      <queryTableField id="56" name="Muziekwerk1 (hoofdkorps)" tableColumnId="56"/>
      <queryTableField id="57" name="Muziekwerk2 (hoofdkorps)" tableColumnId="57"/>
      <queryTableField id="58" name="Korps bestaat uit ... deelnemers (hoofdkorps)" tableColumnId="58"/>
      <queryTableField id="59" name="Naam van het 2e korps" tableColumnId="59"/>
      <queryTableField id="60" name="Zal op treden als (2e korps)" tableColumnId="60"/>
      <queryTableField id="61" name="Vorm van twee muziekwerken (2e korps)" tableColumnId="61"/>
      <queryTableField id="62" name="Zal uitkomen in de: (2e korps)" tableColumnId="62"/>
      <queryTableField id="63" name="Muziekwerk1 (2e korps)" tableColumnId="63"/>
      <queryTableField id="64" name="Muziekwerk2 (2e korps)" tableColumnId="64"/>
      <queryTableField id="65" name="Korps bestaat uit ... deelnemers (2e korps)" tableColumnId="65"/>
      <queryTableField id="69" name="Mechanische muziek" tableColumnId="69"/>
      <queryTableField id="66" name="Onderdelen" tableColumnId="66"/>
      <queryTableField id="67" name="Secties" tableColumnId="67"/>
      <queryTableField id="68" name="Leeftijdscategorie" tableColumnId="68"/>
      <queryTableField id="70" name="Aantal opgegeven majorettes" tableColumnId="70"/>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eGegevens_4" connectionId="5" xr16:uid="{E7113DB3-8D3D-4B9E-B8FB-1CD69E1478A3}" autoFormatId="16" applyNumberFormats="0" applyBorderFormats="0" applyFontFormats="0" applyPatternFormats="0" applyAlignmentFormats="0" applyWidthHeightFormats="0">
  <queryTableRefresh nextId="46">
    <queryTableFields count="23">
      <queryTableField id="29" name="Inzending-ID" tableColumnId="2"/>
      <queryTableField id="20" name="Inzenddatum" tableColumnId="20"/>
      <queryTableField id="1" name="GKVI" tableColumnId="1"/>
      <queryTableField id="21" name="Ver.nr." tableColumnId="21"/>
      <queryTableField id="3" name="Naam vereniging" tableColumnId="3"/>
      <queryTableField id="4" name="Korps klassiek senioren" tableColumnId="4"/>
      <queryTableField id="35" name="Korps 1 klassiek junioren" tableColumnId="5"/>
      <queryTableField id="36" name="Korps 2 klassiek junioren" tableColumnId="6"/>
      <queryTableField id="37" name="Korps 1 klassiek aspiranten" tableColumnId="13"/>
      <queryTableField id="38" name="Korps 2 klassiek aspiranten" tableColumnId="14"/>
      <queryTableField id="7" name="Korps acrob. senioren" tableColumnId="7"/>
      <queryTableField id="8" name="Korps acrob. junioren" tableColumnId="8"/>
      <queryTableField id="9" name="Korps acrob. aspiranten" tableColumnId="9"/>
      <queryTableField id="10" name="Korps show senioren" tableColumnId="10"/>
      <queryTableField id="11" name="Korps show junioren" tableColumnId="11"/>
      <queryTableField id="12" name="Korps show aspiranten" tableColumnId="12"/>
      <queryTableField id="23" name="Senioren" tableColumnId="22"/>
      <queryTableField id="24" name="Junioren" tableColumnId="23"/>
      <queryTableField id="25" name="Aspiranten" tableColumnId="24"/>
      <queryTableField id="17" name="Aantal deelnemers" tableColumnId="17"/>
      <queryTableField id="18" name="Hiervan is aspirant" tableColumnId="18"/>
      <queryTableField id="16" name="Opmerkingen" tableColumnId="16"/>
      <queryTableField id="39" name="Date Updated" tableColumnId="15"/>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eGegevens_2" connectionId="3" xr16:uid="{4E114F9E-3446-4D81-985E-ED37D101CA83}" autoFormatId="16" applyNumberFormats="0" applyBorderFormats="0" applyFontFormats="0" applyPatternFormats="0" applyAlignmentFormats="0" applyWidthHeightFormats="0">
  <queryTableRefresh nextId="89">
    <queryTableFields count="11">
      <queryTableField id="3" name="BIEL" tableColumnId="3"/>
      <queryTableField id="4" name="Ver.nr." tableColumnId="4"/>
      <queryTableField id="5" name="Naam vereniging" tableColumnId="5"/>
      <queryTableField id="6" name="Senioren" tableColumnId="6"/>
      <queryTableField id="84" name="Jong volwassene" tableColumnId="72"/>
      <queryTableField id="7" name="Junioren" tableColumnId="7"/>
      <queryTableField id="8" name="Aspiranten" tableColumnId="8"/>
      <queryTableField id="9" name="Opmerkingen/toelichting" tableColumnId="9"/>
      <queryTableField id="1" name="Inzending-ID" tableColumnId="1"/>
      <queryTableField id="2" name="Inzenddatum" tableColumnId="2"/>
      <queryTableField id="87" name="Date Updated"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B2AD1A8-21EE-4EC5-B1CA-8DF26891C09C}" name="Kringdagen" displayName="Kringdagen" ref="A6:BY118" tableType="queryTable" totalsRowCount="1" headerRowDxfId="881" dataDxfId="880">
  <autoFilter ref="A6:BY117" xr:uid="{3B2AD1A8-21EE-4EC5-B1CA-8DF26891C09C}"/>
  <tableColumns count="77">
    <tableColumn id="1" xr3:uid="{7169F922-C0A5-4C7A-8163-110390717455}" uniqueName="1" name="Kringdag" totalsRowLabel="Totaal" queryTableFieldId="1" dataDxfId="879"/>
    <tableColumn id="2" xr3:uid="{9B4B57E0-EA6A-496B-8C47-7344A7B0416E}" uniqueName="2" name="Ver.nr" queryTableFieldId="2" dataDxfId="878"/>
    <tableColumn id="3" xr3:uid="{28A22636-2AD3-4B4A-853B-05F7307234B8}" uniqueName="3" name="Naam vereniging" totalsRowFunction="count" queryTableFieldId="3" dataDxfId="877"/>
    <tableColumn id="4" xr3:uid="{E83530C6-50B2-4ED6-ACF6-C5FE9C917B8A}" uniqueName="4" name="Delegatie" totalsRowFunction="custom" queryTableFieldId="4" dataDxfId="876">
      <totalsRowFormula>COUNTIF(Kringdagen[Delegatie],"x")</totalsRowFormula>
    </tableColumn>
    <tableColumn id="5" xr3:uid="{7E09E7CC-EED9-4C4B-9E81-D0E289EE75C2}" uniqueName="5" name="Muziekkorps bij mars en defilé" totalsRowFunction="custom" queryTableFieldId="5" dataDxfId="875" totalsRowDxfId="874">
      <totalsRowFormula>COUNTIF(Kringdagen[Muziekkorps bij mars en defilé],"x")</totalsRowFormula>
    </tableColumn>
    <tableColumn id="6" xr3:uid="{E6678213-BCA5-4FB3-8DE9-19B341796385}" uniqueName="6" name="Deeln. jeugdkoningschieten" totalsRowFunction="custom" queryTableFieldId="6" dataDxfId="873" totalsRowDxfId="872">
      <totalsRowFormula>COUNTIF(Kringdagen[Deeln. jeugdkoningschieten],"x")</totalsRowFormula>
    </tableColumn>
    <tableColumn id="7" xr3:uid="{A897B559-E43C-40AE-A514-5712E01E2677}" uniqueName="7" name="Maj. Senioren jureren bij mars" totalsRowFunction="custom" queryTableFieldId="7" dataDxfId="871" totalsRowDxfId="870">
      <totalsRowFormula>COUNTIF(Kringdagen[Maj. Senioren jureren bij mars],"x")</totalsRowFormula>
    </tableColumn>
    <tableColumn id="8" xr3:uid="{85B05329-3894-4DE9-B6ED-E97A4071FF2A}" uniqueName="8" name="Maj. Jeugd jureren bij mars" totalsRowFunction="custom" queryTableFieldId="8" dataDxfId="869" totalsRowDxfId="868">
      <totalsRowFormula>COUNTIF(Kringdagen[Maj. Jeugd jureren bij mars],"x")</totalsRowFormula>
    </tableColumn>
    <tableColumn id="9" xr3:uid="{49CEC62B-3708-4A84-925D-9D3AB0DA0F73}" uniqueName="9" name="Korps senioren" totalsRowFunction="count" queryTableFieldId="9" dataDxfId="867" totalsRowDxfId="866"/>
    <tableColumn id="10" xr3:uid="{6B4F2F2F-1FAF-3543-924F-26F97CA37565}" uniqueName="10" name="Junioren korps 1" totalsRowFunction="count" queryTableFieldId="110"/>
    <tableColumn id="11" xr3:uid="{EB9CC774-6F36-1D41-84A1-AF44A7AC3821}" uniqueName="11" name="Junioren korps 2" totalsRowFunction="count" queryTableFieldId="111"/>
    <tableColumn id="26" xr3:uid="{925701B1-92D4-524D-BB44-975708D4E0F2}" uniqueName="26" name="Aspiranten korps 1" totalsRowFunction="count" queryTableFieldId="112"/>
    <tableColumn id="30" xr3:uid="{06CF2CCD-611C-124C-82DE-BB07FE50CBA9}" uniqueName="30" name="Aspiranten korps 2" totalsRowFunction="count" queryTableFieldId="113"/>
    <tableColumn id="12" xr3:uid="{C7AD7E12-3003-473E-919D-5850575DAB82}" uniqueName="12" name="Acrobatisch senioren" totalsRowFunction="count" queryTableFieldId="12" dataDxfId="865" totalsRowDxfId="864"/>
    <tableColumn id="13" xr3:uid="{8B567A3B-937E-4E8A-921B-3C8F818CA5BC}" uniqueName="13" name="Acrobatisch junioren" totalsRowFunction="custom" queryTableFieldId="13" dataDxfId="863" totalsRowDxfId="862">
      <totalsRowFormula>COUNTIF(Kringdagen[Acrobatisch junioren],"x")</totalsRowFormula>
    </tableColumn>
    <tableColumn id="14" xr3:uid="{46D8E097-8060-41EE-9300-00C0FE494A71}" uniqueName="14" name="Acrobatisch aspiranten" totalsRowFunction="custom" queryTableFieldId="14" dataDxfId="861" totalsRowDxfId="860">
      <totalsRowFormula>COUNTIF(Kringdagen[Acrobatisch aspiranten],"x")</totalsRowFormula>
    </tableColumn>
    <tableColumn id="15" xr3:uid="{3520E680-87C5-4FB1-83CF-64483A825E88}" uniqueName="15" name="Show senioren" queryTableFieldId="15" dataDxfId="859"/>
    <tableColumn id="16" xr3:uid="{52FBA786-F2B5-4A99-A66F-A96504BF6E62}" uniqueName="16" name="Show junioren" totalsRowFunction="count" queryTableFieldId="16" dataDxfId="858"/>
    <tableColumn id="17" xr3:uid="{6B2FC241-12E4-42BB-9EB8-B2F2D7BBDB51}" uniqueName="17" name="Show aspiranten" totalsRowFunction="count" queryTableFieldId="17" dataDxfId="857"/>
    <tableColumn id="18" xr3:uid="{C7144BC3-9507-4F1F-839C-D9B47BC35129}" uniqueName="18" name="Senioren indiv." totalsRowFunction="sum" queryTableFieldId="18" dataDxfId="856" totalsRowDxfId="855"/>
    <tableColumn id="19" xr3:uid="{B7406091-1217-477A-B658-F33626FCC096}" uniqueName="19" name="Junioren indiv." totalsRowFunction="sum" queryTableFieldId="19" dataDxfId="854" totalsRowDxfId="853"/>
    <tableColumn id="20" xr3:uid="{B805D14A-8A89-4BDB-9E34-7FDE41080043}" uniqueName="20" name="Aspiranten indiv." totalsRowFunction="sum" queryTableFieldId="20" dataDxfId="852" totalsRowDxfId="851"/>
    <tableColumn id="21" xr3:uid="{DA0C42EE-0211-4EAE-AA77-10ECFC275046}" uniqueName="21" name="Sen. ind opgegeven namen" totalsRowFunction="sum" queryTableFieldId="21" dataDxfId="850" totalsRowDxfId="849"/>
    <tableColumn id="22" xr3:uid="{22C736A7-9D4B-4B04-900B-6389D7770216}" uniqueName="22" name="Jun. ind opgegeven namen" totalsRowFunction="sum" queryTableFieldId="22" dataDxfId="848" totalsRowDxfId="847"/>
    <tableColumn id="23" xr3:uid="{EA2F5761-2CD1-4E57-B92B-A330394439F7}" uniqueName="23" name="Asp. ind opgegeven namen" totalsRowFunction="sum" queryTableFieldId="23" dataDxfId="846" totalsRowDxfId="845"/>
    <tableColumn id="24" xr3:uid="{D2315A47-D679-4C3E-9008-01944CDEA104}" uniqueName="24" name="Hoofdkorps" totalsRowFunction="custom" queryTableFieldId="24" dataDxfId="844" totalsRowDxfId="843">
      <totalsRowFormula>COUNTIF(Kringdagen[Hoofdkorps],"x")</totalsRowFormula>
    </tableColumn>
    <tableColumn id="25" xr3:uid="{65EEC1D3-27E6-4BBF-B43D-0095CEFABF66}" uniqueName="25" name="2e korps" totalsRowFunction="custom" queryTableFieldId="25" dataDxfId="842" totalsRowDxfId="841">
      <totalsRowFormula>COUNTIF(Kringdagen[2e korps],"x")</totalsRowFormula>
    </tableColumn>
    <tableColumn id="31" xr3:uid="{00B2A2A4-B8ED-49A0-9F8F-38F89F43411A}" uniqueName="31" name="Groepen, teams, ensembles en duo's" totalsRowFunction="count" queryTableFieldId="78"/>
    <tableColumn id="27" xr3:uid="{7BB4D3FC-109D-47BA-B9BD-B08D2B1288FB}" uniqueName="27" name="Senioren" totalsRowFunction="sum" queryTableFieldId="27" dataDxfId="840"/>
    <tableColumn id="32" xr3:uid="{CC331888-BB39-4C72-8420-9A514DA0BFCF}" uniqueName="32" name="Jong volwassene" totalsRowFunction="sum" queryTableFieldId="79"/>
    <tableColumn id="28" xr3:uid="{D70C281E-A0B6-47CA-BB3C-7AA5560A4CC2}" uniqueName="28" name="Junioren" totalsRowFunction="sum" queryTableFieldId="28" dataDxfId="839"/>
    <tableColumn id="29" xr3:uid="{A6A55D24-90D7-4793-953C-8BED0C9CA667}" uniqueName="29" name="Aspiranten" totalsRowFunction="sum" queryTableFieldId="29" dataDxfId="838"/>
    <tableColumn id="35" xr3:uid="{D8A1205A-C81A-44D1-8F2D-60C384E136F5}" uniqueName="35" name="Opgegeven senioren" totalsRowFunction="sum" queryTableFieldId="80"/>
    <tableColumn id="37" xr3:uid="{933810B6-BBB9-4FEF-8CBF-B9F27056FC92}" uniqueName="37" name="Opgegeven jong volwassene" totalsRowFunction="sum" queryTableFieldId="81"/>
    <tableColumn id="39" xr3:uid="{6BD908E3-DF48-4688-97C8-B6EAE72A91DD}" uniqueName="39" name="Opgegeven junioren" totalsRowFunction="sum" queryTableFieldId="82"/>
    <tableColumn id="41" xr3:uid="{1984258B-546E-423D-AFE2-AA763DC9A4A4}" uniqueName="41" name="Opgegeven aspiranten" totalsRowFunction="sum" queryTableFieldId="83"/>
    <tableColumn id="33" xr3:uid="{326E8F18-C19B-456E-86C1-3ADD38D94464}" uniqueName="33" name="Marketentsters" totalsRowFunction="custom" queryTableFieldId="33" dataDxfId="837">
      <totalsRowFormula>COUNTIF(Kringdagen[Acrobatisch aspiranten],"x")</totalsRowFormula>
    </tableColumn>
    <tableColumn id="34" xr3:uid="{D67523FD-729A-4875-B750-2E0984FC2AFC}" uniqueName="34" name="Luchtgeweer" totalsRowFunction="custom" queryTableFieldId="34" dataDxfId="836">
      <totalsRowFormula>COUNTIF(Kringdagen[Luchtgeweer],"x")</totalsRowFormula>
    </tableColumn>
    <tableColumn id="42" xr3:uid="{9B139311-D274-49A8-94E7-1AD6DCCB25D3}" uniqueName="42" name="Aantal luchtgeweerschutters" totalsRowFunction="sum" queryTableFieldId="84"/>
    <tableColumn id="36" xr3:uid="{289B9A18-0C3D-4168-B8C1-F78C2257FB79}" uniqueName="36" name="Luchtpistool" totalsRowFunction="custom" queryTableFieldId="36" dataDxfId="835">
      <totalsRowFormula>COUNTIF(Kringdagen[Luchtpistool],"x")</totalsRowFormula>
    </tableColumn>
    <tableColumn id="43" xr3:uid="{3672FD41-3E0F-42CD-9F45-6131E27DA8F2}" uniqueName="43" name="Aantal luchtpistoolschutters" totalsRowFunction="sum" queryTableFieldId="85"/>
    <tableColumn id="40" xr3:uid="{F8B26F13-01CD-4495-93AB-15F10A1049AD}" uniqueName="40" name="Handboog" totalsRowFunction="custom" queryTableFieldId="40" dataDxfId="834">
      <totalsRowFormula>COUNTIF(Kringdagen[Handboog],"x")</totalsRowFormula>
    </tableColumn>
    <tableColumn id="44" xr3:uid="{D7D759F3-208D-4B2D-BB20-8EE723E9D536}" uniqueName="44" name="Aantal handboogschutters" totalsRowFunction="sum" queryTableFieldId="86"/>
    <tableColumn id="38" xr3:uid="{BF15A180-6B6D-4D01-8D56-94BD5C65421C}" uniqueName="38" name="Kruisboog" totalsRowFunction="custom" queryTableFieldId="38" dataDxfId="833">
      <totalsRowFormula>COUNTIF(Kringdagen[Kruisboog],"x")</totalsRowFormula>
    </tableColumn>
    <tableColumn id="71" xr3:uid="{5728B2C7-1DB9-4032-81F2-ACA15494CC6F}" uniqueName="71" name="Aantal kruisboogschutters" totalsRowFunction="sum" queryTableFieldId="87"/>
    <tableColumn id="72" xr3:uid="{BFB9E05E-1721-447B-92B4-9D9D1847611E}" uniqueName="72" name="Luchtgeweer jeugd niet ouder dan 17 jaar." totalsRowFunction="custom" queryTableFieldId="88" dataDxfId="832">
      <totalsRowFormula>COUNTIF(Kringdagen[[#Headers],[#Data],[Luchtgeweer jeugd niet ouder dan 17 jaar.]],"x")</totalsRowFormula>
    </tableColumn>
    <tableColumn id="73" xr3:uid="{527D85A2-785F-4C31-9343-1F5772082267}" uniqueName="73" name="Aantal korpsen" totalsRowFunction="sum" queryTableFieldId="89"/>
    <tableColumn id="74" xr3:uid="{11DE4FF6-2DB3-4BAB-A81C-98B03ACD130F}" uniqueName="74" name="Opgegeven jeugdkorpsen LG" totalsRowFunction="sum" queryTableFieldId="90"/>
    <tableColumn id="45" xr3:uid="{487581FD-47FD-4B43-B4CD-B3CB14A5658D}" uniqueName="45" name="Totaal aantal deelnemers" totalsRowFunction="sum" queryTableFieldId="45" dataDxfId="831"/>
    <tableColumn id="46" xr3:uid="{24CE9FFA-B58D-41F3-B403-2A7455C510FA}" uniqueName="46" name="Waarvan aantal jeugd (t/m 15 jaar)" totalsRowFunction="sum" queryTableFieldId="46" dataDxfId="830"/>
    <tableColumn id="47" xr3:uid="{F4FDD882-9499-4143-B293-D33292BE1EDD}" uniqueName="47" name="Kanon etc." totalsRowFunction="custom" queryTableFieldId="47" dataDxfId="829">
      <totalsRowFormula>COUNTIF(Kringdagen[Kanon etc.],"x")</totalsRowFormula>
    </tableColumn>
    <tableColumn id="48" xr3:uid="{BFBCCAD4-A36E-473C-AABB-E13B45AC4056}" uniqueName="48" name="Paarden en/of koetsen" totalsRowFunction="custom" queryTableFieldId="48" dataDxfId="828">
      <totalsRowFormula>COUNTIF(Kringdagen[Paarden en/of koetsen],"x")</totalsRowFormula>
    </tableColumn>
    <tableColumn id="49" xr3:uid="{A7B1F859-9BFD-4A99-8275-1C36781803C9}" uniqueName="49" name="Toelichting/opmerkingen" queryTableFieldId="49" dataDxfId="827" totalsRowDxfId="826"/>
    <tableColumn id="50" xr3:uid="{7CDF31B1-5BC8-4AC1-B0C4-721328656AA8}" uniqueName="50" name="Inzending-ID" queryTableFieldId="50" dataDxfId="825"/>
    <tableColumn id="51" xr3:uid="{584A802D-3439-4ACA-AFDC-FC30D9E20F1B}" uniqueName="51" name="Inzenddatum" queryTableFieldId="51" dataDxfId="824"/>
    <tableColumn id="75" xr3:uid="{5A64AE3D-0A3E-4214-AA7A-0BD95C97BB7D}" uniqueName="75" name="Date Updated" queryTableFieldId="91" dataDxfId="823"/>
    <tableColumn id="52" xr3:uid="{3B7A1945-C475-49E0-821E-DE1E932FC754}" uniqueName="52" name="Naam van het hoofdkorps" queryTableFieldId="52" dataDxfId="822"/>
    <tableColumn id="53" xr3:uid="{AC4D1791-8940-4916-AF6A-5C3B622C6244}" uniqueName="53" name="Zal op treden als (hoofdkorps)" queryTableFieldId="53" dataDxfId="821"/>
    <tableColumn id="54" xr3:uid="{8205D8BF-789B-4766-89ED-5BEEB61F4F3E}" uniqueName="54" name="Vorm van twee muziekwerken (hoofdkorps)" queryTableFieldId="54" dataDxfId="820"/>
    <tableColumn id="55" xr3:uid="{38D02A87-0B62-4193-BB26-814D3F0F7CE3}" uniqueName="55" name="Zal uitkomen in de: (hoofdkorps)" queryTableFieldId="55" dataDxfId="819"/>
    <tableColumn id="56" xr3:uid="{5A373806-0F74-4F9E-8F05-ABC018CB841B}" uniqueName="56" name="Muziekwerk1 (hoofdkorps)" queryTableFieldId="56" dataDxfId="818"/>
    <tableColumn id="57" xr3:uid="{FD3115BA-A8B0-4983-BB09-1D0734FFF11D}" uniqueName="57" name="Muziekwerk2 (hoofdkorps)" queryTableFieldId="57" dataDxfId="817"/>
    <tableColumn id="58" xr3:uid="{538579BC-A4B4-41B7-A0E4-5ED6CE267985}" uniqueName="58" name="Korps bestaat uit ... deelnemers (hoofdkorps)" queryTableFieldId="58" dataDxfId="816"/>
    <tableColumn id="59" xr3:uid="{B6BF2D51-68AA-4A33-AEB5-BF9246AACE9A}" uniqueName="59" name="Naam van het 2e korps" queryTableFieldId="59" dataDxfId="815"/>
    <tableColumn id="60" xr3:uid="{421F5F90-267D-4901-9B8E-991C5897AC60}" uniqueName="60" name="Zal op treden als (2e korps)" queryTableFieldId="60" dataDxfId="814"/>
    <tableColumn id="61" xr3:uid="{8448A063-B19D-4184-B8C7-25D0479A5D0C}" uniqueName="61" name="Vorm van twee muziekwerken (2e korps)" queryTableFieldId="61" dataDxfId="813"/>
    <tableColumn id="62" xr3:uid="{44056152-530D-483A-9546-BFE5C52E9BA6}" uniqueName="62" name="Zal uitkomen in de: (2e korps)" queryTableFieldId="62" dataDxfId="812"/>
    <tableColumn id="63" xr3:uid="{FB032110-844D-4A34-925E-237A62033908}" uniqueName="63" name="Muziekwerk1 (2e korps)" queryTableFieldId="63" dataDxfId="811"/>
    <tableColumn id="64" xr3:uid="{A63C4752-27A4-4642-989D-48A16EB8534B}" uniqueName="64" name="Muziekwerk2 (2e korps)" queryTableFieldId="64" dataDxfId="810" totalsRowDxfId="809"/>
    <tableColumn id="65" xr3:uid="{5C72AC6E-8F73-4B3D-AD19-BDA77DA16FA9}" uniqueName="65" name="Korps bestaat uit ... deelnemers (2e korps)" queryTableFieldId="65" dataDxfId="808" totalsRowDxfId="807"/>
    <tableColumn id="69" xr3:uid="{4321D970-37D1-4901-B966-516EDF83B5C1}" uniqueName="69" name="Mechanische muziek" queryTableFieldId="69" dataDxfId="806" totalsRowDxfId="805"/>
    <tableColumn id="66" xr3:uid="{F8AAA117-DE18-4F31-8CC3-9BFE50C3F6CC}" uniqueName="66" name="Onderdelen" queryTableFieldId="66" dataDxfId="804" totalsRowDxfId="803"/>
    <tableColumn id="67" xr3:uid="{8BD9FAD2-8AD0-4E46-9B1E-ADF442282474}" uniqueName="67" name="Secties" queryTableFieldId="67" dataDxfId="802" totalsRowDxfId="801"/>
    <tableColumn id="68" xr3:uid="{A2FDF1E3-65B9-4616-9296-F9BC2DBF4E46}" uniqueName="68" name="Leeftijdscategorie" queryTableFieldId="68" dataDxfId="800" totalsRowDxfId="799"/>
    <tableColumn id="70" xr3:uid="{4119D92A-81F3-4CA7-8040-7C262720EC7A}" uniqueName="70" name="Aantal opgegeven majorettes" totalsRowFunction="sum" queryTableFieldId="70" dataDxfId="798" totalsRowDxfId="797"/>
    <tableColumn id="78" xr3:uid="{70D9A541-1343-6148-BB3C-57F41FD61F5D}" uniqueName="78" name="Column1" queryTableFieldId="120" dataDxfId="796"/>
    <tableColumn id="79" xr3:uid="{F0C863D8-4178-354A-9B27-7298BD31A035}" uniqueName="79" name="_332" queryTableFieldId="121" dataDxfId="795"/>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CD540B2-EAF0-4DE2-B57B-B123CBAF77F8}" name="KDM" displayName="KDM" ref="A7:BW21" tableType="queryTable" totalsRowCount="1" headerRowDxfId="794" dataDxfId="793" totalsRowDxfId="792">
  <autoFilter ref="A7:BW20" xr:uid="{2CD540B2-EAF0-4DE2-B57B-B123CBAF77F8}"/>
  <tableColumns count="75">
    <tableColumn id="1" xr3:uid="{1103BBA0-A8BC-4D47-8FCD-A3FDFA000991}" uniqueName="1" name="Kringdag" totalsRowLabel="Totaal" queryTableFieldId="1" dataDxfId="791"/>
    <tableColumn id="2" xr3:uid="{C7B4BCD5-1C5D-4BF7-BAED-3A0C2CB1F3D1}" uniqueName="2" name="Ver.nr" queryTableFieldId="2" dataDxfId="790"/>
    <tableColumn id="3" xr3:uid="{9DA68F7A-F5A4-430F-AA1A-B1A621DAF4EE}" uniqueName="3" name="Naam vereniging" totalsRowFunction="count" queryTableFieldId="3" dataDxfId="789" totalsRowDxfId="788"/>
    <tableColumn id="4" xr3:uid="{56F38DBD-5A2B-46D1-8142-1B151DE834FE}" uniqueName="4" name="Delegatie" totalsRowFunction="custom" queryTableFieldId="4" dataDxfId="787" totalsRowDxfId="786">
      <totalsRowFormula>COUNTIF(KDM[Delegatie],"x")</totalsRowFormula>
    </tableColumn>
    <tableColumn id="5" xr3:uid="{0A6A9C30-5B27-412A-BB0B-519280B4824B}" uniqueName="5" name="Muziekkorps bij mars en defilé" totalsRowFunction="custom" queryTableFieldId="5" dataDxfId="785" totalsRowDxfId="784">
      <totalsRowFormula>COUNTIF(KDM[Muziekkorps bij mars en defilé],"x")</totalsRowFormula>
    </tableColumn>
    <tableColumn id="6" xr3:uid="{0EF1B394-669B-4312-A165-6ED5704C248D}" uniqueName="6" name="Deeln. jeugdkoningschieten" totalsRowFunction="custom" queryTableFieldId="6" dataDxfId="783" totalsRowDxfId="782">
      <totalsRowFormula>COUNTIF(KDM[Deeln. jeugdkoningschieten],"x")</totalsRowFormula>
    </tableColumn>
    <tableColumn id="7" xr3:uid="{0E14AC65-9321-47FF-9069-7F59147E815C}" uniqueName="7" name="Maj. Senioren jureren bij mars" totalsRowFunction="custom" queryTableFieldId="7" dataDxfId="781" totalsRowDxfId="780">
      <totalsRowFormula>COUNTIF(KDM[Maj. Senioren jureren bij mars],"x")</totalsRowFormula>
    </tableColumn>
    <tableColumn id="8" xr3:uid="{86F1F864-AE5F-430C-AAD0-2F423ED0C79A}" uniqueName="8" name="Maj. Jeugd jureren bij mars" totalsRowFunction="custom" queryTableFieldId="8" dataDxfId="779" totalsRowDxfId="778">
      <totalsRowFormula>COUNTIF(KDM[Maj. Jeugd jureren bij mars],"x")</totalsRowFormula>
    </tableColumn>
    <tableColumn id="9" xr3:uid="{4D16CC4B-0392-434F-BB5E-9A77AACD0570}" uniqueName="9" name="Korps senioren" totalsRowFunction="count" queryTableFieldId="9" dataDxfId="777" totalsRowDxfId="776"/>
    <tableColumn id="10" xr3:uid="{52B04DEF-7B7A-4605-B991-CE2214297B0A}" uniqueName="10" name="Junioren korps 1" totalsRowFunction="count" queryTableFieldId="120" dataDxfId="775" totalsRowDxfId="774"/>
    <tableColumn id="11" xr3:uid="{DE4F4F56-4A22-4646-A428-8BFCB0383503}" uniqueName="11" name="Junioren korps 2" totalsRowFunction="count" queryTableFieldId="121" dataDxfId="773" totalsRowDxfId="772"/>
    <tableColumn id="26" xr3:uid="{427F84BA-67CF-4528-8E9C-B2ACC2AAEFF1}" uniqueName="26" name="Aspiranten korps 1" totalsRowFunction="count" queryTableFieldId="122" dataDxfId="771" totalsRowDxfId="770"/>
    <tableColumn id="30" xr3:uid="{8DAFA16D-00E8-44E9-ABD8-EE403D7CDB78}" uniqueName="30" name="Aspiranten korps 2" totalsRowFunction="count" queryTableFieldId="123" dataDxfId="769" totalsRowDxfId="768"/>
    <tableColumn id="12" xr3:uid="{AC0F6136-3715-4379-A358-A022D71C9CF2}" uniqueName="12" name="Acrobatisch senioren" totalsRowFunction="count" queryTableFieldId="12" dataDxfId="767" totalsRowDxfId="766"/>
    <tableColumn id="13" xr3:uid="{5CB2F786-C6CD-4D31-8435-9F349EC91962}" uniqueName="13" name="Acrobatisch junioren" totalsRowFunction="count" queryTableFieldId="13" dataDxfId="765" totalsRowDxfId="764"/>
    <tableColumn id="14" xr3:uid="{67C2CBD8-0B32-4379-A0B6-849663120187}" uniqueName="14" name="Acrobatisch aspiranten" totalsRowFunction="count" queryTableFieldId="14" dataDxfId="763" totalsRowDxfId="762"/>
    <tableColumn id="15" xr3:uid="{3200A8D3-393D-48E5-A13B-28AA07B269BC}" uniqueName="15" name="Show senioren" queryTableFieldId="15" dataDxfId="761" totalsRowDxfId="760"/>
    <tableColumn id="16" xr3:uid="{BD755798-A106-4E58-AC3A-29EF81FA1C42}" uniqueName="16" name="Show junioren" queryTableFieldId="16" dataDxfId="759" totalsRowDxfId="758"/>
    <tableColumn id="17" xr3:uid="{3A30FE20-7662-492C-B9B2-C9FFC86D516B}" uniqueName="17" name="Show aspiranten" queryTableFieldId="17" dataDxfId="757" totalsRowDxfId="756"/>
    <tableColumn id="18" xr3:uid="{E22007BB-0174-429F-84CA-CF78AA079CB6}" uniqueName="18" name="Senioren indiv." totalsRowFunction="sum" queryTableFieldId="18" dataDxfId="755" totalsRowDxfId="754"/>
    <tableColumn id="19" xr3:uid="{EBBB12A6-43FC-4D97-8CD4-597AA9E51031}" uniqueName="19" name="Junioren indiv." totalsRowFunction="sum" queryTableFieldId="19" dataDxfId="753" totalsRowDxfId="752"/>
    <tableColumn id="20" xr3:uid="{21DA1D24-967A-4096-A692-28F6B39AAEEE}" uniqueName="20" name="Aspiranten indiv." totalsRowFunction="sum" queryTableFieldId="20" dataDxfId="751" totalsRowDxfId="750"/>
    <tableColumn id="21" xr3:uid="{727ECB18-6D8E-46D0-B56F-DAF816B707FF}" uniqueName="21" name="Sen. ind opgegeven namen" totalsRowFunction="sum" queryTableFieldId="21" dataDxfId="749" totalsRowDxfId="748"/>
    <tableColumn id="22" xr3:uid="{CE2410D8-CF76-4736-A78E-4123FB23E9F9}" uniqueName="22" name="Jun. ind opgegeven namen" totalsRowFunction="sum" queryTableFieldId="22" dataDxfId="747" totalsRowDxfId="746"/>
    <tableColumn id="23" xr3:uid="{D135BAA9-49F7-4641-B3D6-4DF752244534}" uniqueName="23" name="Asp. ind opgegeven namen" totalsRowFunction="sum" queryTableFieldId="23" dataDxfId="745" totalsRowDxfId="744"/>
    <tableColumn id="24" xr3:uid="{6667AB92-4EEA-44D6-A4DD-B0434FEA668E}" uniqueName="24" name="Hoofdkorps" totalsRowFunction="custom" queryTableFieldId="24" dataDxfId="743" totalsRowDxfId="742">
      <totalsRowFormula>COUNTIF(KDM[Hoofdkorps],"x")</totalsRowFormula>
    </tableColumn>
    <tableColumn id="25" xr3:uid="{D8B8BB65-4A90-4631-8E7A-4D3AA8552A9C}" uniqueName="25" name="2e korps" totalsRowFunction="custom" queryTableFieldId="25" dataDxfId="741" totalsRowDxfId="740">
      <totalsRowFormula>COUNTIF(KDM[2e korps],"x")</totalsRowFormula>
    </tableColumn>
    <tableColumn id="31" xr3:uid="{B09B6154-3422-4137-B51A-8DEE0F9F462D}" uniqueName="31" name="Groepen, teams, ensembles en duo's" totalsRowFunction="sum" queryTableFieldId="80" dataDxfId="739" totalsRowDxfId="738"/>
    <tableColumn id="27" xr3:uid="{256C4587-E989-4647-AA31-C1624FA2FEAC}" uniqueName="27" name="Senioren" totalsRowFunction="sum" queryTableFieldId="27" dataDxfId="737" totalsRowDxfId="736"/>
    <tableColumn id="32" xr3:uid="{C0370C61-D9F6-4797-B3B8-F2D1C9BB4852}" uniqueName="32" name="Jong volwassene" totalsRowFunction="sum" queryTableFieldId="81" totalsRowDxfId="735"/>
    <tableColumn id="28" xr3:uid="{54FE8F08-70CE-4FD0-96CD-8E868167C7D2}" uniqueName="28" name="Junioren" totalsRowFunction="sum" queryTableFieldId="28" dataDxfId="734" totalsRowDxfId="733"/>
    <tableColumn id="29" xr3:uid="{2E865A1A-3C71-466A-8934-91FE60012A60}" uniqueName="29" name="Aspiranten" totalsRowFunction="sum" queryTableFieldId="29" dataDxfId="732" totalsRowDxfId="731"/>
    <tableColumn id="35" xr3:uid="{81C3194F-DD43-4F92-9593-79357F8786EB}" uniqueName="35" name="Opgegeven senioren" totalsRowFunction="sum" queryTableFieldId="82" dataDxfId="730" totalsRowDxfId="729"/>
    <tableColumn id="37" xr3:uid="{6E0C519F-6EB0-4334-9B1A-F596E8E454AC}" uniqueName="37" name="Opgegeven jong volwassene" totalsRowFunction="sum" queryTableFieldId="83" dataDxfId="728" totalsRowDxfId="727"/>
    <tableColumn id="39" xr3:uid="{E3029DBD-E0FB-4C50-9468-CA660DE3025A}" uniqueName="39" name="Opgegeven junioren" totalsRowFunction="sum" queryTableFieldId="84" totalsRowDxfId="726"/>
    <tableColumn id="41" xr3:uid="{35732D12-A7C4-42C4-BE23-5697B89EEC73}" uniqueName="41" name="Opgegeven aspiranten" totalsRowFunction="sum" queryTableFieldId="85" dataDxfId="725" totalsRowDxfId="724"/>
    <tableColumn id="33" xr3:uid="{BF03D043-517D-4DB3-9286-0D15F4B1A397}" uniqueName="33" name="Marketentsters" totalsRowFunction="custom" queryTableFieldId="33" dataDxfId="723" totalsRowDxfId="722">
      <totalsRowFormula>COUNTIF(KDM[Marketentsters],"x")</totalsRowFormula>
    </tableColumn>
    <tableColumn id="34" xr3:uid="{51F54AC5-F9AE-4FE8-BA0F-54081FBE5E81}" uniqueName="34" name="Luchtgeweer" totalsRowFunction="custom" queryTableFieldId="34" dataDxfId="721" totalsRowDxfId="720">
      <totalsRowFormula>COUNTIF(KDM[Luchtgeweer],"x")</totalsRowFormula>
    </tableColumn>
    <tableColumn id="42" xr3:uid="{AD32ACC3-2A54-43AA-9148-7EA9E6D56965}" uniqueName="42" name="Aantal luchtgeweerschutters" totalsRowFunction="sum" queryTableFieldId="86" totalsRowDxfId="719"/>
    <tableColumn id="36" xr3:uid="{0CC42708-8DCC-439B-89E3-BDDE53979283}" uniqueName="36" name="Luchtpistool" totalsRowFunction="custom" queryTableFieldId="36" dataDxfId="718" totalsRowDxfId="717">
      <totalsRowFormula>COUNTIF(KDM[Luchtpistool],"x")</totalsRowFormula>
    </tableColumn>
    <tableColumn id="43" xr3:uid="{FFBFE65D-31DA-457C-BE80-FC187203B147}" uniqueName="43" name="Aantal luchtpistoolschutters" totalsRowFunction="sum" queryTableFieldId="87" totalsRowDxfId="716"/>
    <tableColumn id="40" xr3:uid="{EBF61A57-DD1C-47D2-8CCA-41A0F57B1A96}" uniqueName="40" name="Handboog" totalsRowFunction="custom" queryTableFieldId="40" dataDxfId="715" totalsRowDxfId="714">
      <totalsRowFormula>COUNTIF(KDM[Handboog],"x")</totalsRowFormula>
    </tableColumn>
    <tableColumn id="44" xr3:uid="{29163F03-74A3-4353-83DF-892EC5A017A2}" uniqueName="44" name="Aantal handboogschutters" totalsRowFunction="sum" queryTableFieldId="88" totalsRowDxfId="713"/>
    <tableColumn id="38" xr3:uid="{FAA925D4-01EA-4240-92AF-E0481E5FDB4E}" uniqueName="38" name="Kruisboog" totalsRowFunction="custom" queryTableFieldId="38" dataDxfId="712" totalsRowDxfId="711">
      <totalsRowFormula>COUNTIF(KDM[Kruisboog],"x")</totalsRowFormula>
    </tableColumn>
    <tableColumn id="71" xr3:uid="{C43138BE-F656-4EA0-9DB0-2B9C0994481F}" uniqueName="71" name="Aantal kruisboogschutters" totalsRowFunction="sum" queryTableFieldId="89" totalsRowDxfId="710"/>
    <tableColumn id="72" xr3:uid="{498E0BB8-7958-483C-B657-8BB77F0FB837}" uniqueName="72" name="Luchtgeweer jeugd niet ouder dan 17 jaar." totalsRowFunction="custom" queryTableFieldId="90" totalsRowDxfId="709">
      <totalsRowFormula>COUNTIF(KDM[Luchtgeweer jeugd niet ouder dan 17 jaar.],"x")</totalsRowFormula>
    </tableColumn>
    <tableColumn id="73" xr3:uid="{EF49EA19-FFFC-4C92-9B2C-86AA91A50C3D}" uniqueName="73" name="Aantal korpsen" totalsRowFunction="sum" queryTableFieldId="91" totalsRowDxfId="708"/>
    <tableColumn id="74" xr3:uid="{BF742F9A-AB07-41AB-9E1D-AB7B7B3271C4}" uniqueName="74" name="Opgegeven jeugdkorpsen LG" totalsRowFunction="sum" queryTableFieldId="92" totalsRowDxfId="707"/>
    <tableColumn id="45" xr3:uid="{19947D8E-C146-4F61-8E81-67BD20023F28}" uniqueName="45" name="Totaal aantal deelnemers" totalsRowFunction="sum" queryTableFieldId="45" dataDxfId="706" totalsRowDxfId="705"/>
    <tableColumn id="46" xr3:uid="{BB8D92BB-D698-4DE2-8134-A64DC678E0D4}" uniqueName="46" name="Waarvan aantal jeugd (t/m 15 jaar)" totalsRowFunction="sum" queryTableFieldId="46" dataDxfId="704" totalsRowDxfId="703"/>
    <tableColumn id="47" xr3:uid="{1B7EF0F4-ACE2-4E41-9F1B-912D63ADE04E}" uniqueName="47" name="Kanon etc." totalsRowFunction="custom" queryTableFieldId="47" dataDxfId="702" totalsRowDxfId="701">
      <totalsRowFormula>COUNTIF(KDM[Kanon etc.],"x")</totalsRowFormula>
    </tableColumn>
    <tableColumn id="48" xr3:uid="{7007A11F-6D10-44D9-86B5-53AAE3FE5038}" uniqueName="48" name="Paarden en/of koetsen" totalsRowFunction="custom" queryTableFieldId="48" dataDxfId="700" totalsRowDxfId="699">
      <totalsRowFormula>COUNTIF(KDM[Paarden en/of koetsen],"x")</totalsRowFormula>
    </tableColumn>
    <tableColumn id="49" xr3:uid="{5A6DB413-3256-420D-A58A-662346BDCF67}" uniqueName="49" name="Toelichting/opmerkingen" queryTableFieldId="49" dataDxfId="698" totalsRowDxfId="697"/>
    <tableColumn id="50" xr3:uid="{6FBEB53C-FE4E-4FE9-A15E-1549EA66F05B}" uniqueName="50" name="Inzending-ID" queryTableFieldId="50" totalsRowDxfId="696"/>
    <tableColumn id="51" xr3:uid="{344A8F98-6529-45AB-9EA1-CAC68E8EA1D6}" uniqueName="51" name="Inzenddatum" queryTableFieldId="51" dataDxfId="695" totalsRowDxfId="694"/>
    <tableColumn id="75" xr3:uid="{0190D9CB-AEC1-474C-B0C9-2997F247F263}" uniqueName="75" name="Date Updated" queryTableFieldId="93" dataDxfId="693" totalsRowDxfId="692"/>
    <tableColumn id="52" xr3:uid="{59AD6DB3-558C-4CE3-AE1C-3F6D275437D2}" uniqueName="52" name="Naam van het hoofdkorps" queryTableFieldId="52" totalsRowDxfId="691"/>
    <tableColumn id="53" xr3:uid="{1E6E0AB3-6015-4B6B-9965-94D3A13E0117}" uniqueName="53" name="Zal op treden als (hoofdkorps)" queryTableFieldId="53" totalsRowDxfId="690"/>
    <tableColumn id="54" xr3:uid="{3F26E9C8-0175-4E71-978E-080659366137}" uniqueName="54" name="Vorm van twee muziekwerken (hoofdkorps)" queryTableFieldId="54" totalsRowDxfId="689"/>
    <tableColumn id="55" xr3:uid="{EE89679C-3970-404F-9DC4-1E46686BDAE4}" uniqueName="55" name="Zal uitkomen in de: (hoofdkorps)" queryTableFieldId="55" totalsRowDxfId="688"/>
    <tableColumn id="56" xr3:uid="{8E3A8F5A-F2ED-479D-AA23-12C3B156CA44}" uniqueName="56" name="Muziekwerk1 (hoofdkorps)" queryTableFieldId="56" totalsRowDxfId="687"/>
    <tableColumn id="57" xr3:uid="{B3F66E59-A470-4AD5-BCB9-792E70E49122}" uniqueName="57" name="Muziekwerk2 (hoofdkorps)" queryTableFieldId="57" totalsRowDxfId="686"/>
    <tableColumn id="58" xr3:uid="{5BD80B3A-4601-40F3-9C5F-D5745A2E1D4F}" uniqueName="58" name="Korps bestaat uit ... deelnemers (hoofdkorps)" queryTableFieldId="58" totalsRowDxfId="685"/>
    <tableColumn id="59" xr3:uid="{6451A10A-8F21-479F-81F4-05223DCEF067}" uniqueName="59" name="Naam van het 2e korps" queryTableFieldId="59" totalsRowDxfId="684"/>
    <tableColumn id="60" xr3:uid="{4EA1AC0E-82AF-48C9-9A20-754D75158E2A}" uniqueName="60" name="Zal op treden als (2e korps)" queryTableFieldId="60" totalsRowDxfId="683"/>
    <tableColumn id="61" xr3:uid="{7EC431FA-4B8A-4F25-B8BB-20A579B53005}" uniqueName="61" name="Vorm van twee muziekwerken (2e korps)" queryTableFieldId="61" totalsRowDxfId="682"/>
    <tableColumn id="62" xr3:uid="{849EE010-E7D6-4D9A-9D23-56B356AF0CA3}" uniqueName="62" name="Zal uitkomen in de: (2e korps)" queryTableFieldId="62" totalsRowDxfId="681"/>
    <tableColumn id="63" xr3:uid="{94F7FEBF-4B5B-4A7C-A471-B08B86B9310D}" uniqueName="63" name="Muziekwerk1 (2e korps)" queryTableFieldId="63" totalsRowDxfId="680"/>
    <tableColumn id="64" xr3:uid="{33C24921-A5F4-4638-8F58-935D9D9EDCA2}" uniqueName="64" name="Muziekwerk2 (2e korps)" queryTableFieldId="64" totalsRowDxfId="679"/>
    <tableColumn id="65" xr3:uid="{F7EABD4C-084D-4662-AD89-CB1E4F218DD7}" uniqueName="65" name="Korps bestaat uit ... deelnemers (2e korps)" queryTableFieldId="65" totalsRowDxfId="678"/>
    <tableColumn id="69" xr3:uid="{FB2AB4C9-6C3D-4BF2-9B4F-41C9179239B0}" uniqueName="69" name="Mechanische muziek" queryTableFieldId="69" totalsRowDxfId="677"/>
    <tableColumn id="66" xr3:uid="{0B450FBA-12EF-4BCE-859B-4B12FD085D93}" uniqueName="66" name="Onderdelen" queryTableFieldId="66" totalsRowDxfId="676"/>
    <tableColumn id="67" xr3:uid="{0015294C-99BF-4EDB-A3AF-578345E11467}" uniqueName="67" name="Secties" queryTableFieldId="67" totalsRowDxfId="675"/>
    <tableColumn id="68" xr3:uid="{4F44F759-96C2-4758-96A5-ED0DFA76F905}" uniqueName="68" name="Leeftijdscategorie" queryTableFieldId="68" totalsRowDxfId="674"/>
    <tableColumn id="70" xr3:uid="{884558A7-621E-4038-A8CB-DC3F0C3BC985}" uniqueName="70" name="Aantal opgegeven majorettes" totalsRowFunction="sum" queryTableFieldId="70" dataDxfId="673" totalsRowDxfId="672"/>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7859E2-FEBE-4C6B-878D-0D5F2E3A3C55}" name="KDL" displayName="KDL" ref="A6:BW27" tableType="queryTable" totalsRowCount="1" headerRowDxfId="671" dataDxfId="670" totalsRowDxfId="669">
  <autoFilter ref="A6:BW26" xr:uid="{1C7859E2-FEBE-4C6B-878D-0D5F2E3A3C55}"/>
  <tableColumns count="75">
    <tableColumn id="1" xr3:uid="{EDB78B54-2831-4A3D-80E1-F75B83FDB926}" uniqueName="1" name="Kringdag" totalsRowLabel="Totaal" queryTableFieldId="1"/>
    <tableColumn id="2" xr3:uid="{0D1A2C2A-0BDC-4083-81A8-3EC5C388101A}" uniqueName="2" name="Ver.nr" queryTableFieldId="2" dataDxfId="668"/>
    <tableColumn id="3" xr3:uid="{4B36CDC0-BE6D-4356-8E00-F9631326E778}" uniqueName="3" name="Naam vereniging" totalsRowFunction="count" queryTableFieldId="3"/>
    <tableColumn id="4" xr3:uid="{57B71CC3-5284-41D1-A7D9-9906AC9634FE}" uniqueName="4" name="Delegatie" totalsRowFunction="custom" queryTableFieldId="4" dataDxfId="667" totalsRowDxfId="666">
      <totalsRowFormula>COUNTIF(KDL[Delegatie],"x")</totalsRowFormula>
    </tableColumn>
    <tableColumn id="5" xr3:uid="{9A308465-DBD5-4A7C-95A8-4E71EB8C6AAF}" uniqueName="5" name="Muziekkorps bij mars en defilé" totalsRowFunction="custom" queryTableFieldId="5" dataDxfId="665" totalsRowDxfId="664">
      <totalsRowFormula>COUNTIF(KDL[Muziekkorps bij mars en defilé],"x")</totalsRowFormula>
    </tableColumn>
    <tableColumn id="6" xr3:uid="{E5A6E810-09C2-4076-9D5E-306B6D89F27A}" uniqueName="6" name="Deeln. jeugdkoningschieten" totalsRowFunction="custom" queryTableFieldId="6" dataDxfId="663" totalsRowDxfId="662">
      <totalsRowFormula>COUNTIF(KDL[Deeln. jeugdkoningschieten],"x")</totalsRowFormula>
    </tableColumn>
    <tableColumn id="7" xr3:uid="{93BE05C0-88AF-4904-B3C7-DF10389B13F3}" uniqueName="7" name="Maj. Senioren jureren bij mars" totalsRowFunction="custom" queryTableFieldId="7" dataDxfId="661" totalsRowDxfId="660">
      <totalsRowFormula>COUNTIF(KDL[Maj. Senioren jureren bij mars],"x")</totalsRowFormula>
    </tableColumn>
    <tableColumn id="8" xr3:uid="{4C7B2FE6-832A-4E27-8246-09B69E8561ED}" uniqueName="8" name="Maj. Jeugd jureren bij mars" totalsRowFunction="custom" queryTableFieldId="8" dataDxfId="659" totalsRowDxfId="658">
      <totalsRowFormula>COUNTIF(KDL[Maj. Jeugd jureren bij mars],"x")</totalsRowFormula>
    </tableColumn>
    <tableColumn id="9" xr3:uid="{86857107-905A-45D3-A248-DF36A76EEACD}" uniqueName="9" name="Korps senioren" totalsRowFunction="count" queryTableFieldId="9" dataDxfId="657" totalsRowDxfId="656"/>
    <tableColumn id="10" xr3:uid="{64891433-2EA9-4372-ACAE-76A1D5AC81EC}" uniqueName="10" name="Junioren korps 1" totalsRowFunction="count" queryTableFieldId="118" totalsRowDxfId="655"/>
    <tableColumn id="11" xr3:uid="{B28C65B2-21C8-451E-9541-C2B66F10D332}" uniqueName="11" name="Junioren korps 2" totalsRowFunction="count" queryTableFieldId="119" totalsRowDxfId="654"/>
    <tableColumn id="26" xr3:uid="{4E739CF1-6FB4-4B45-84D9-54FCD1BB1952}" uniqueName="26" name="Aspiranten korps 1" totalsRowFunction="count" queryTableFieldId="120" totalsRowDxfId="653"/>
    <tableColumn id="30" xr3:uid="{6687C010-AB49-4766-A7C7-08EF3634C339}" uniqueName="30" name="Aspiranten korps 2" totalsRowFunction="count" queryTableFieldId="121" totalsRowDxfId="652"/>
    <tableColumn id="12" xr3:uid="{CB8CD2DD-8D30-408A-B33C-B2916D5F187D}" uniqueName="12" name="Acrobatisch senioren" totalsRowFunction="count" queryTableFieldId="12" dataDxfId="651" totalsRowDxfId="650"/>
    <tableColumn id="13" xr3:uid="{7BC2D42F-89AD-4F62-8BFD-E1AD8A37641E}" uniqueName="13" name="Acrobatisch junioren" totalsRowFunction="count" queryTableFieldId="13" dataDxfId="649" totalsRowDxfId="648"/>
    <tableColumn id="14" xr3:uid="{330BFF1B-27FC-4155-B519-6495DA9BD45B}" uniqueName="14" name="Acrobatisch aspiranten" totalsRowFunction="count" queryTableFieldId="14" dataDxfId="647" totalsRowDxfId="646"/>
    <tableColumn id="15" xr3:uid="{2D2BB7A2-8C97-49E6-B53D-63E8AF0F9F19}" uniqueName="15" name="Show senioren" queryTableFieldId="15" dataDxfId="645" totalsRowDxfId="644"/>
    <tableColumn id="16" xr3:uid="{C8AA7E52-A5AA-49D9-9C80-7E774E1ABE92}" uniqueName="16" name="Show junioren" queryTableFieldId="16" dataDxfId="643" totalsRowDxfId="642"/>
    <tableColumn id="17" xr3:uid="{9A12D42C-2B39-40A3-A2F1-2917B2720C46}" uniqueName="17" name="Show aspiranten" queryTableFieldId="17" dataDxfId="641" totalsRowDxfId="640"/>
    <tableColumn id="18" xr3:uid="{0EF7E319-9FB2-4E30-AF3A-3E5FFFD9F1B3}" uniqueName="18" name="Senioren indiv." totalsRowFunction="sum" queryTableFieldId="18" totalsRowDxfId="639"/>
    <tableColumn id="19" xr3:uid="{ACA69D3E-42F7-4DF7-994A-58F128DD57CD}" uniqueName="19" name="Junioren indiv." totalsRowFunction="sum" queryTableFieldId="19" totalsRowDxfId="638"/>
    <tableColumn id="20" xr3:uid="{7DF3479B-E7CA-4ED8-8FFB-71114DC9E25D}" uniqueName="20" name="Aspiranten indiv." totalsRowFunction="sum" queryTableFieldId="20" totalsRowDxfId="637"/>
    <tableColumn id="21" xr3:uid="{A650067B-0908-45E6-94D7-BD335B7C960E}" uniqueName="21" name="Sen. ind opgegeven namen" totalsRowFunction="sum" queryTableFieldId="21" totalsRowDxfId="636"/>
    <tableColumn id="22" xr3:uid="{612D4C3E-F94F-49C2-88F1-08C412907B83}" uniqueName="22" name="Jun. ind opgegeven namen" totalsRowFunction="sum" queryTableFieldId="22" totalsRowDxfId="635"/>
    <tableColumn id="23" xr3:uid="{633E5A2E-3E25-4ACB-A752-43604A9560A6}" uniqueName="23" name="Asp. ind opgegeven namen" totalsRowFunction="sum" queryTableFieldId="23" totalsRowDxfId="634"/>
    <tableColumn id="24" xr3:uid="{57956973-6970-47BC-9FFF-BDFB06BEC464}" uniqueName="24" name="Hoofdkorps" totalsRowFunction="custom" queryTableFieldId="24" dataDxfId="633" totalsRowDxfId="632">
      <totalsRowFormula>COUNTIF(KDL[Hoofdkorps],"x")</totalsRowFormula>
    </tableColumn>
    <tableColumn id="25" xr3:uid="{04B5A3D8-FF1D-4275-8E2B-AA4A59A34E8B}" uniqueName="25" name="2e korps" totalsRowFunction="custom" queryTableFieldId="25" dataDxfId="631" totalsRowDxfId="630">
      <totalsRowFormula>COUNTIF(KDL[2e korps],"x")</totalsRowFormula>
    </tableColumn>
    <tableColumn id="31" xr3:uid="{2433CA1F-6379-4CDF-9024-3EC6CBF0DFBF}" uniqueName="31" name="Groepen, teams, ensembles en duo's" totalsRowFunction="sum" queryTableFieldId="86" totalsRowDxfId="629"/>
    <tableColumn id="27" xr3:uid="{01EAE119-1717-4DB1-BCC1-076158F2B7D3}" uniqueName="27" name="Senioren" totalsRowFunction="sum" queryTableFieldId="27" dataDxfId="628" totalsRowDxfId="627"/>
    <tableColumn id="32" xr3:uid="{FED96D10-E0EA-4F9F-8FD4-47FED620F130}" uniqueName="32" name="Jong volwassene" totalsRowFunction="sum" queryTableFieldId="87" totalsRowDxfId="626"/>
    <tableColumn id="28" xr3:uid="{E6DAF836-35E4-476B-9579-13EEC2C54509}" uniqueName="28" name="Junioren" totalsRowFunction="sum" queryTableFieldId="28" totalsRowDxfId="625"/>
    <tableColumn id="29" xr3:uid="{B862400F-87B7-4AAF-AF98-CB5C9C41067D}" uniqueName="29" name="Aspiranten" totalsRowFunction="sum" queryTableFieldId="29" totalsRowDxfId="624"/>
    <tableColumn id="35" xr3:uid="{7A608A6E-F5CA-4BDE-97A3-3990A6548B2B}" uniqueName="35" name="Opgegeven senioren" totalsRowFunction="sum" queryTableFieldId="88" totalsRowDxfId="623"/>
    <tableColumn id="37" xr3:uid="{F4A70C4B-99E1-4110-BBD5-E5280BA35F3F}" uniqueName="37" name="Opgegeven jong volwassene" totalsRowFunction="sum" queryTableFieldId="89" totalsRowDxfId="622"/>
    <tableColumn id="39" xr3:uid="{9B8173CA-169C-4CD4-87A7-2DC9BE602D67}" uniqueName="39" name="Opgegeven junioren" totalsRowFunction="sum" queryTableFieldId="90" totalsRowDxfId="621"/>
    <tableColumn id="41" xr3:uid="{1135793E-2C37-4A39-83C0-08BD19122C9D}" uniqueName="41" name="Opgegeven aspiranten" totalsRowFunction="sum" queryTableFieldId="91" totalsRowDxfId="620"/>
    <tableColumn id="33" xr3:uid="{8FF26CA8-7516-4CEB-8709-358028484F6C}" uniqueName="33" name="Marketentsters" totalsRowFunction="custom" queryTableFieldId="33" dataDxfId="619" totalsRowDxfId="618">
      <totalsRowFormula>COUNTIF(KDL[Marketentsters],"x")</totalsRowFormula>
    </tableColumn>
    <tableColumn id="34" xr3:uid="{B0C87D6D-0274-439D-9F3B-B0658AED1BBD}" uniqueName="34" name="Luchtgeweer" totalsRowFunction="custom" queryTableFieldId="34" dataDxfId="617" totalsRowDxfId="616">
      <totalsRowFormula>COUNTIF(KDL[Luchtgeweer],"x")</totalsRowFormula>
    </tableColumn>
    <tableColumn id="42" xr3:uid="{5BE41AA9-6D2D-4AAD-AC70-B8AFB45A7A0C}" uniqueName="42" name="Aantal luchtgeweerschutters" totalsRowFunction="sum" queryTableFieldId="92" totalsRowDxfId="615"/>
    <tableColumn id="36" xr3:uid="{5C863D58-2733-4033-9435-D482AA08ADCB}" uniqueName="36" name="Luchtpistool" totalsRowFunction="custom" queryTableFieldId="36" dataDxfId="614" totalsRowDxfId="613">
      <totalsRowFormula>COUNTIF(KDL[Luchtpistool],"x")</totalsRowFormula>
    </tableColumn>
    <tableColumn id="43" xr3:uid="{4354801C-48D7-4389-87A6-9B5DB9CED9FC}" uniqueName="43" name="Aantal luchtpistoolschutters" totalsRowFunction="sum" queryTableFieldId="93" totalsRowDxfId="612"/>
    <tableColumn id="40" xr3:uid="{232916E5-1725-4C06-AE87-F05E98E84376}" uniqueName="40" name="Handboog" totalsRowFunction="custom" queryTableFieldId="40" dataDxfId="611" totalsRowDxfId="610">
      <totalsRowFormula>COUNTIF(KDL[Handboog],"x")</totalsRowFormula>
    </tableColumn>
    <tableColumn id="44" xr3:uid="{E49D6762-67FB-4AD1-8906-865B907216FD}" uniqueName="44" name="Aantal handboogschutters" totalsRowFunction="sum" queryTableFieldId="94" totalsRowDxfId="609"/>
    <tableColumn id="38" xr3:uid="{FF49762E-1EDE-4A60-B2B3-F57682D2F581}" uniqueName="38" name="Kruisboog" totalsRowFunction="custom" queryTableFieldId="38" dataDxfId="608" totalsRowDxfId="607">
      <totalsRowFormula>COUNTIF(KDL[Kruisboog],"x")</totalsRowFormula>
    </tableColumn>
    <tableColumn id="71" xr3:uid="{B6F67F3D-41FE-4C39-A0D0-5AC402847995}" uniqueName="71" name="Aantal kruisboogschutters" totalsRowFunction="sum" queryTableFieldId="95" totalsRowDxfId="606"/>
    <tableColumn id="72" xr3:uid="{71B82EDC-AC07-47BC-80F1-572A42A9EA7D}" uniqueName="72" name="Luchtgeweer jeugd niet ouder dan 17 jaar." totalsRowFunction="custom" queryTableFieldId="96" dataDxfId="605" totalsRowDxfId="604">
      <totalsRowFormula>COUNTIF(KDL[Luchtgeweer jeugd niet ouder dan 17 jaar.],"x")</totalsRowFormula>
    </tableColumn>
    <tableColumn id="73" xr3:uid="{7A6FDD62-7623-47AC-BE61-54C9DD155FCD}" uniqueName="73" name="Aantal korpsen" totalsRowFunction="sum" queryTableFieldId="97" totalsRowDxfId="603"/>
    <tableColumn id="74" xr3:uid="{79906B44-290E-4BFF-8446-6F2A14243E37}" uniqueName="74" name="Opgegeven jeugdkorpsen LG" totalsRowFunction="sum" queryTableFieldId="98" totalsRowDxfId="602"/>
    <tableColumn id="45" xr3:uid="{6FE91AB4-F0BF-4229-863C-5C3B0B0C150F}" uniqueName="45" name="Totaal aantal deelnemers" totalsRowFunction="sum" queryTableFieldId="45" dataDxfId="601" totalsRowDxfId="600"/>
    <tableColumn id="46" xr3:uid="{3F920BB7-39BB-472A-9E05-9D16E946E754}" uniqueName="46" name="Waarvan aantal jeugd (t/m 15 jaar)" totalsRowFunction="sum" queryTableFieldId="46" dataDxfId="599" totalsRowDxfId="598"/>
    <tableColumn id="47" xr3:uid="{5F6639A2-1A58-4EE2-8A88-7CE4C28DE14E}" uniqueName="47" name="Kanon etc." totalsRowFunction="custom" queryTableFieldId="47" dataDxfId="597" totalsRowDxfId="596">
      <totalsRowFormula>COUNTIF(KDL[Kanon etc.],"x")</totalsRowFormula>
    </tableColumn>
    <tableColumn id="48" xr3:uid="{75E9B5DB-26ED-4455-8D06-5EBB0489B6E5}" uniqueName="48" name="Paarden en/of koetsen" totalsRowFunction="custom" queryTableFieldId="48" dataDxfId="595" totalsRowDxfId="594">
      <totalsRowFormula>COUNTIF(KDL[Paarden en/of koetsen],"x")</totalsRowFormula>
    </tableColumn>
    <tableColumn id="49" xr3:uid="{A2F351EF-BF6A-4EF2-B20F-ACD1F3D421D5}" uniqueName="49" name="Toelichting/opmerkingen" queryTableFieldId="49" dataDxfId="593" totalsRowDxfId="592"/>
    <tableColumn id="50" xr3:uid="{8E6E3B2B-A3E8-463D-9C6C-E7EB38640090}" uniqueName="50" name="Inzending-ID" queryTableFieldId="50" dataDxfId="591" totalsRowDxfId="590"/>
    <tableColumn id="51" xr3:uid="{7C7C4003-91EC-471F-86E1-E7F95D4AF041}" uniqueName="51" name="Inzenddatum" queryTableFieldId="51" dataDxfId="589" totalsRowDxfId="588"/>
    <tableColumn id="75" xr3:uid="{74353F0E-ABA6-4C8C-8036-8E81B5968782}" uniqueName="75" name="Date Updated" queryTableFieldId="99" dataDxfId="587" totalsRowDxfId="586"/>
    <tableColumn id="52" xr3:uid="{571854C2-F9B4-4AC2-B42B-5B307450030A}" uniqueName="52" name="Naam van het hoofdkorps" queryTableFieldId="52" totalsRowDxfId="585"/>
    <tableColumn id="53" xr3:uid="{98BDBCEE-4546-409E-9965-16FBFF631FDD}" uniqueName="53" name="Zal op treden als (hoofdkorps)" queryTableFieldId="53" totalsRowDxfId="584"/>
    <tableColumn id="54" xr3:uid="{6DAD7732-30CB-40CD-BC61-9F4E1AE160E4}" uniqueName="54" name="Vorm van twee muziekwerken (hoofdkorps)" queryTableFieldId="54" totalsRowDxfId="583"/>
    <tableColumn id="55" xr3:uid="{64F6BB10-27FA-451D-957A-3CF7BB6B07E3}" uniqueName="55" name="Zal uitkomen in de: (hoofdkorps)" queryTableFieldId="55" totalsRowDxfId="582"/>
    <tableColumn id="56" xr3:uid="{1667CE51-ED48-444B-A5E4-5F1FF62BAAB5}" uniqueName="56" name="Muziekwerk1 (hoofdkorps)" queryTableFieldId="56" totalsRowDxfId="581"/>
    <tableColumn id="57" xr3:uid="{F0C01F3E-6748-4F03-A3F5-EAD5689C0D7E}" uniqueName="57" name="Muziekwerk2 (hoofdkorps)" queryTableFieldId="57" totalsRowDxfId="580"/>
    <tableColumn id="58" xr3:uid="{109CA614-CF3C-4518-B10C-FB3A5F35C8AD}" uniqueName="58" name="Korps bestaat uit ... deelnemers (hoofdkorps)" queryTableFieldId="58" dataDxfId="579" totalsRowDxfId="578"/>
    <tableColumn id="59" xr3:uid="{EBB1025D-9F16-4477-A93E-585F35700005}" uniqueName="59" name="Naam van het 2e korps" queryTableFieldId="59" totalsRowDxfId="577"/>
    <tableColumn id="60" xr3:uid="{0D55EFB6-EB3C-48F1-BC90-A91C74796335}" uniqueName="60" name="Zal op treden als (2e korps)" queryTableFieldId="60" totalsRowDxfId="576"/>
    <tableColumn id="61" xr3:uid="{065270A4-DBC9-4E3A-A7C3-E96A4989AF08}" uniqueName="61" name="Vorm van twee muziekwerken (2e korps)" queryTableFieldId="61" totalsRowDxfId="575"/>
    <tableColumn id="62" xr3:uid="{03937D12-4562-4E96-9188-B44366F2059B}" uniqueName="62" name="Zal uitkomen in de: (2e korps)" queryTableFieldId="62" totalsRowDxfId="574"/>
    <tableColumn id="63" xr3:uid="{B96BCE7B-0A0F-4096-94A7-1727983FCF81}" uniqueName="63" name="Muziekwerk1 (2e korps)" queryTableFieldId="63" totalsRowDxfId="573"/>
    <tableColumn id="64" xr3:uid="{A699F2C8-7164-4116-821E-E1F7ECBB16CF}" uniqueName="64" name="Muziekwerk2 (2e korps)" queryTableFieldId="64" dataDxfId="572" totalsRowDxfId="571"/>
    <tableColumn id="65" xr3:uid="{14F077BD-BA28-4657-A9D6-903661E69000}" uniqueName="65" name="Korps bestaat uit ... deelnemers (2e korps)" queryTableFieldId="65" totalsRowDxfId="570"/>
    <tableColumn id="69" xr3:uid="{7D5E67A8-F62C-41DA-9BDF-AF828627EB01}" uniqueName="69" name="Mechanische muziek" queryTableFieldId="69" dataDxfId="569" totalsRowDxfId="568"/>
    <tableColumn id="66" xr3:uid="{6CE245F9-18FA-40DF-94FF-BC235CEB698A}" uniqueName="66" name="Onderdelen" queryTableFieldId="66" dataDxfId="567" totalsRowDxfId="566"/>
    <tableColumn id="67" xr3:uid="{FA63884A-B82F-4383-8AC3-1D99260FC1BA}" uniqueName="67" name="Secties" queryTableFieldId="67" dataDxfId="565" totalsRowDxfId="564"/>
    <tableColumn id="68" xr3:uid="{7B6A9F6F-BB58-42BA-91AE-B6DA6ABC2578}" uniqueName="68" name="Leeftijdscategorie" queryTableFieldId="68" dataDxfId="563" totalsRowDxfId="562"/>
    <tableColumn id="70" xr3:uid="{5BE6C664-B0D1-466F-92E1-918FBA88A5E0}" uniqueName="70" name="Aantal opgegeven majorettes" totalsRowFunction="sum" queryTableFieldId="70" totalsRowDxfId="561"/>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533CA51-300D-4E19-87BD-CE9A932A5F64}" name="KDA" displayName="KDA" ref="A6:BX32" tableType="queryTable" totalsRowCount="1" headerRowDxfId="560" dataDxfId="559" totalsRowDxfId="558">
  <autoFilter ref="A6:BX31" xr:uid="{1533CA51-300D-4E19-87BD-CE9A932A5F64}"/>
  <tableColumns count="76">
    <tableColumn id="1" xr3:uid="{F93438CA-5BC1-40B0-AC53-A5A974368AF7}" uniqueName="1" name="Kringdag" totalsRowLabel="Totaal" queryTableFieldId="1" dataDxfId="557"/>
    <tableColumn id="2" xr3:uid="{11BCB282-4F36-4774-AA5B-AA23FFE13890}" uniqueName="2" name="Ver.nr" queryTableFieldId="2" dataDxfId="556"/>
    <tableColumn id="3" xr3:uid="{F2EA5EB1-97BC-48C0-A4CC-D5A0A1764FF3}" uniqueName="3" name="Naam vereniging" totalsRowFunction="count" queryTableFieldId="3"/>
    <tableColumn id="4" xr3:uid="{B8495924-00E2-444B-89A8-BD52A8328D25}" uniqueName="4" name="Delegatie" totalsRowFunction="custom" queryTableFieldId="4" dataDxfId="555" totalsRowDxfId="554">
      <totalsRowFormula>COUNTIF(KDA[Delegatie],"x")</totalsRowFormula>
    </tableColumn>
    <tableColumn id="5" xr3:uid="{E06FC56F-DD67-466F-93BC-7471DD416A1A}" uniqueName="5" name="Muziekkorps bij mars en defilé" totalsRowFunction="custom" queryTableFieldId="5" dataDxfId="553" totalsRowDxfId="552">
      <totalsRowFormula>COUNTIF(KDA[Muziekkorps bij mars en defilé],"x")</totalsRowFormula>
    </tableColumn>
    <tableColumn id="6" xr3:uid="{B2C1A0BA-64B2-4B29-A89F-F4361D7EDDA2}" uniqueName="6" name="Deeln. jeugdkoningschieten" totalsRowFunction="custom" queryTableFieldId="6" dataDxfId="551" totalsRowDxfId="550">
      <totalsRowFormula>COUNTIF(KDA[Deeln. jeugdkoningschieten],"x")</totalsRowFormula>
    </tableColumn>
    <tableColumn id="7" xr3:uid="{DD3AFF5E-1BCA-48EA-9B7A-BF4825D60A07}" uniqueName="7" name="Maj. Senioren jureren bij mars" totalsRowFunction="custom" queryTableFieldId="7" dataDxfId="549" totalsRowDxfId="548">
      <totalsRowFormula>COUNTIF(KDA[Maj. Senioren jureren bij mars],"x")</totalsRowFormula>
    </tableColumn>
    <tableColumn id="8" xr3:uid="{AC812AEA-FD1F-434D-93D9-F04B994734F3}" uniqueName="8" name="Maj. Jeugd jureren bij mars" totalsRowFunction="custom" queryTableFieldId="8" dataDxfId="547" totalsRowDxfId="546">
      <totalsRowFormula>COUNTIF(KDA[Maj. Jeugd jureren bij mars],"x")</totalsRowFormula>
    </tableColumn>
    <tableColumn id="9" xr3:uid="{103082B0-6247-47F4-808D-327BE9CB1B80}" uniqueName="9" name="Korps senioren" totalsRowFunction="count" queryTableFieldId="9" dataDxfId="545" totalsRowDxfId="544"/>
    <tableColumn id="10" xr3:uid="{D74E8F12-96A3-424F-A6C2-D1D436652E47}" uniqueName="10" name="Junioren korps 1" totalsRowFunction="count" queryTableFieldId="112" totalsRowDxfId="543"/>
    <tableColumn id="11" xr3:uid="{6BA5C00F-7B52-490C-8F8A-10903D727ED5}" uniqueName="11" name="Junioren korps 2" totalsRowFunction="count" queryTableFieldId="113" totalsRowDxfId="542"/>
    <tableColumn id="26" xr3:uid="{22819178-6A63-482A-9494-31DC8CECDA5A}" uniqueName="26" name="Aspiranten korps 1" totalsRowFunction="count" queryTableFieldId="114" dataDxfId="541" totalsRowDxfId="540"/>
    <tableColumn id="30" xr3:uid="{7B9B50E1-7D1D-495E-B261-7AB482B0DD39}" uniqueName="30" name="Aspiranten korps 2" totalsRowFunction="count" queryTableFieldId="115" totalsRowDxfId="539"/>
    <tableColumn id="12" xr3:uid="{E66D5DFB-32B6-42AC-B4D5-E30137B204C2}" uniqueName="12" name="Acrobatisch senioren" totalsRowFunction="count" queryTableFieldId="12" dataDxfId="538" totalsRowDxfId="537"/>
    <tableColumn id="13" xr3:uid="{F1F58774-FA3B-4D0D-93AB-C2468779E24B}" uniqueName="13" name="Acrobatisch junioren" totalsRowFunction="count" queryTableFieldId="13" dataDxfId="536" totalsRowDxfId="535"/>
    <tableColumn id="14" xr3:uid="{0ADA7D06-C504-4FDF-9B22-532627DA442D}" uniqueName="14" name="Acrobatisch aspiranten" totalsRowFunction="count" queryTableFieldId="14" dataDxfId="534" totalsRowDxfId="533"/>
    <tableColumn id="15" xr3:uid="{003A0629-A841-482D-9497-FD928CA63AC3}" uniqueName="15" name="Show senioren" queryTableFieldId="15" dataDxfId="532" totalsRowDxfId="531"/>
    <tableColumn id="16" xr3:uid="{A07346AE-9183-4CAB-8290-6FB260E88BDA}" uniqueName="16" name="Show junioren" queryTableFieldId="16" dataDxfId="530" totalsRowDxfId="529"/>
    <tableColumn id="17" xr3:uid="{42782677-0BC4-4B59-83D0-AAD146CED9A7}" uniqueName="17" name="Show aspiranten" queryTableFieldId="17" dataDxfId="528" totalsRowDxfId="527"/>
    <tableColumn id="18" xr3:uid="{993FA367-ECDB-4796-BBF5-2C8A80786752}" uniqueName="18" name="Senioren indiv." totalsRowFunction="sum" queryTableFieldId="18" totalsRowDxfId="526"/>
    <tableColumn id="19" xr3:uid="{E4B93A7E-C99D-404B-958A-53AC9915538B}" uniqueName="19" name="Junioren indiv." totalsRowFunction="sum" queryTableFieldId="19" totalsRowDxfId="525"/>
    <tableColumn id="20" xr3:uid="{9CBBE6CF-215E-41EA-B4B8-01218CA064F0}" uniqueName="20" name="Aspiranten indiv." totalsRowFunction="sum" queryTableFieldId="20" totalsRowDxfId="524"/>
    <tableColumn id="21" xr3:uid="{48A9223C-9738-4246-9658-2291CBBF5BDB}" uniqueName="21" name="Sen. ind opgegeven namen" totalsRowFunction="sum" queryTableFieldId="21" totalsRowDxfId="523"/>
    <tableColumn id="22" xr3:uid="{A363B7BF-C1DB-409E-BE12-FF3A85F26564}" uniqueName="22" name="Jun. ind opgegeven namen" totalsRowFunction="sum" queryTableFieldId="22" totalsRowDxfId="522"/>
    <tableColumn id="23" xr3:uid="{7190C7B5-C1FE-47B2-B536-10BD609396FA}" uniqueName="23" name="Asp. ind opgegeven namen" totalsRowFunction="sum" queryTableFieldId="23" totalsRowDxfId="521"/>
    <tableColumn id="24" xr3:uid="{33B74F72-409E-46A1-9666-8832CDB341F9}" uniqueName="24" name="Hoofdkorps" totalsRowFunction="custom" queryTableFieldId="24" dataDxfId="520" totalsRowDxfId="519">
      <totalsRowFormula>COUNTIF(KDA[Hoofdkorps],"x")</totalsRowFormula>
    </tableColumn>
    <tableColumn id="25" xr3:uid="{E75BA82A-4EC4-43EC-8CDA-F4B633611053}" uniqueName="25" name="2e korps" totalsRowFunction="custom" queryTableFieldId="25" dataDxfId="518" totalsRowDxfId="517">
      <totalsRowFormula>COUNTIF(KDA[2e korps],"x")</totalsRowFormula>
    </tableColumn>
    <tableColumn id="31" xr3:uid="{8C17FF84-91ED-4367-96B0-D5E9C2E308AA}" uniqueName="31" name="Groepen, teams, ensembles en duo's" totalsRowFunction="sum" queryTableFieldId="80" totalsRowDxfId="516"/>
    <tableColumn id="27" xr3:uid="{78F4C8EC-321C-48CA-A6EA-B4EF44603AD1}" uniqueName="27" name="Senioren" totalsRowFunction="sum" queryTableFieldId="27" totalsRowDxfId="515"/>
    <tableColumn id="32" xr3:uid="{A8E6E228-1CC8-4B2E-B7B8-71C2D810E97D}" uniqueName="32" name="Jong volwassene" totalsRowFunction="sum" queryTableFieldId="81" totalsRowDxfId="514"/>
    <tableColumn id="28" xr3:uid="{013C1948-F539-46B8-97DF-5FC55797320E}" uniqueName="28" name="Junioren" totalsRowFunction="sum" queryTableFieldId="28" totalsRowDxfId="513"/>
    <tableColumn id="29" xr3:uid="{392E162D-5ED4-47A0-A7C3-2155E0008E03}" uniqueName="29" name="Aspiranten" totalsRowFunction="sum" queryTableFieldId="29" totalsRowDxfId="512"/>
    <tableColumn id="35" xr3:uid="{52752A42-08CC-444F-8FCC-27D3B8816379}" uniqueName="35" name="Opgegeven senioren" totalsRowFunction="sum" queryTableFieldId="82" totalsRowDxfId="511"/>
    <tableColumn id="37" xr3:uid="{EBB72690-7293-4B9A-B81C-EBB1608151E4}" uniqueName="37" name="Opgegeven jong volwassene" totalsRowFunction="sum" queryTableFieldId="83" totalsRowDxfId="510"/>
    <tableColumn id="39" xr3:uid="{0C66655B-B78F-4DF0-BB19-1A806276B528}" uniqueName="39" name="Opgegeven junioren" totalsRowFunction="sum" queryTableFieldId="84" totalsRowDxfId="509"/>
    <tableColumn id="41" xr3:uid="{D31EB490-0AA2-42BC-8FB7-5990C483CB48}" uniqueName="41" name="Opgegeven aspiranten" totalsRowFunction="sum" queryTableFieldId="85" totalsRowDxfId="508"/>
    <tableColumn id="33" xr3:uid="{55AAE09E-E997-495C-959A-F5351ED1E7B7}" uniqueName="33" name="Marketentsters" totalsRowFunction="custom" queryTableFieldId="33" dataDxfId="507" totalsRowDxfId="506">
      <totalsRowFormula>COUNTIF(KDA[Marketentsters],"x")</totalsRowFormula>
    </tableColumn>
    <tableColumn id="34" xr3:uid="{E6741020-7ED5-49D6-B406-51CEE8B8DD68}" uniqueName="34" name="Luchtgeweer" totalsRowFunction="custom" queryTableFieldId="34" dataDxfId="505" totalsRowDxfId="504">
      <totalsRowFormula>COUNTIF(KDA[Luchtgeweer],"x")</totalsRowFormula>
    </tableColumn>
    <tableColumn id="42" xr3:uid="{5A549990-ED18-4F73-A6C8-4E658A409420}" uniqueName="42" name="Aantal luchtgeweerschutters" totalsRowFunction="sum" queryTableFieldId="86" dataDxfId="503"/>
    <tableColumn id="36" xr3:uid="{EAC31335-978D-41AD-B136-0983A961D6E2}" uniqueName="36" name="Luchtpistool" totalsRowFunction="custom" queryTableFieldId="36" dataDxfId="502" totalsRowDxfId="501">
      <totalsRowFormula>COUNTIF(KDA[Luchtpistool],"x")</totalsRowFormula>
    </tableColumn>
    <tableColumn id="43" xr3:uid="{D31A5E4D-5471-4911-B227-561D3D36C71B}" uniqueName="43" name="Aantal luchtpistoolschutters" totalsRowFunction="sum" queryTableFieldId="87" totalsRowDxfId="500"/>
    <tableColumn id="40" xr3:uid="{AAFBD778-4704-439C-8204-5F5A02A8B3A8}" uniqueName="40" name="Handboog" totalsRowFunction="custom" queryTableFieldId="40" dataDxfId="499" totalsRowDxfId="498">
      <totalsRowFormula>COUNTIF(KDA[Handboog],"x")</totalsRowFormula>
    </tableColumn>
    <tableColumn id="44" xr3:uid="{32C15FFD-49E8-4D70-870E-65ED8286FDFA}" uniqueName="44" name="Aantal handboogschutters" totalsRowFunction="sum" queryTableFieldId="88" dataDxfId="497"/>
    <tableColumn id="38" xr3:uid="{537D7FC0-ADEB-4D95-B5AA-67860B0C8D31}" uniqueName="38" name="Kruisboog" totalsRowFunction="custom" queryTableFieldId="38" dataDxfId="496" totalsRowDxfId="495">
      <totalsRowFormula>COUNTIF(KDA[Kruisboog],"x")</totalsRowFormula>
    </tableColumn>
    <tableColumn id="71" xr3:uid="{E8DBE28A-D63A-4627-9B78-87475022C1F7}" uniqueName="71" name="Aantal kruisboogschutters" totalsRowFunction="sum" queryTableFieldId="89" totalsRowDxfId="494"/>
    <tableColumn id="72" xr3:uid="{F44B5FDC-1CAE-43A1-BB30-C5D81EC88DE8}" uniqueName="72" name="Luchtgeweer jeugd niet ouder dan 17 jaar." totalsRowFunction="custom" queryTableFieldId="90" dataDxfId="493" totalsRowDxfId="492">
      <totalsRowFormula>COUNTIF(KDA[Luchtgeweer jeugd niet ouder dan 17 jaar.],"x")</totalsRowFormula>
    </tableColumn>
    <tableColumn id="73" xr3:uid="{B4EBB654-5962-4156-BEAE-3952F17CC8B9}" uniqueName="73" name="Aantal korpsen" totalsRowFunction="sum" queryTableFieldId="91" dataDxfId="491" totalsRowDxfId="490"/>
    <tableColumn id="74" xr3:uid="{CAA768B5-90B5-4D9E-81AB-2321BC33E35A}" uniqueName="74" name="Opgegeven jeugdkorpsen LG" totalsRowFunction="sum" queryTableFieldId="92" dataDxfId="489" totalsRowDxfId="488"/>
    <tableColumn id="45" xr3:uid="{2F277C4A-7C12-42C0-BA72-175A58161C7B}" uniqueName="45" name="Totaal aantal deelnemers" totalsRowFunction="sum" queryTableFieldId="45" dataDxfId="487" totalsRowDxfId="486"/>
    <tableColumn id="46" xr3:uid="{06097E5F-1324-42A7-90B9-AB1E8A3AE557}" uniqueName="46" name="Waarvan aantal jeugd (t/m 15 jaar)" totalsRowFunction="sum" queryTableFieldId="46" dataDxfId="485" totalsRowDxfId="484"/>
    <tableColumn id="47" xr3:uid="{6AF72223-27EE-4CFA-9C64-F4B94F3FFE6D}" uniqueName="47" name="Kanon etc." totalsRowFunction="custom" queryTableFieldId="47" totalsRowDxfId="483">
      <totalsRowFormula>COUNTIF(KDA[Kanon etc.],"x")</totalsRowFormula>
    </tableColumn>
    <tableColumn id="48" xr3:uid="{FFED3A78-6BF7-45D9-8E3A-3517FCD679B2}" uniqueName="48" name="Paarden en/of koetsen" totalsRowFunction="custom" queryTableFieldId="48" totalsRowDxfId="482">
      <totalsRowFormula>COUNTIF(KDA[Paarden en/of koetsen],"x")</totalsRowFormula>
    </tableColumn>
    <tableColumn id="49" xr3:uid="{FFCB43B4-8315-475A-BBDA-92F96CBE0CD8}" uniqueName="49" name="Toelichting/opmerkingen" queryTableFieldId="49" dataDxfId="481" totalsRowDxfId="480"/>
    <tableColumn id="50" xr3:uid="{AC191752-224D-4115-A7BE-53E55432DC01}" uniqueName="50" name="Inzending-ID" queryTableFieldId="50" dataDxfId="479" totalsRowDxfId="478"/>
    <tableColumn id="51" xr3:uid="{61C71225-CE38-47AC-831C-29EAF9AE3EEF}" uniqueName="51" name="Inzenddatum" queryTableFieldId="51" dataDxfId="477" totalsRowDxfId="476"/>
    <tableColumn id="75" xr3:uid="{DF5485A7-BC31-4665-A9CD-69FEC0D3A0B6}" uniqueName="75" name="Date Updated" queryTableFieldId="93" dataDxfId="475" totalsRowDxfId="474"/>
    <tableColumn id="52" xr3:uid="{E5C749FC-4350-4DB1-AC14-61DCC8E3341A}" uniqueName="52" name="Naam van het hoofdkorps" queryTableFieldId="52" totalsRowDxfId="473"/>
    <tableColumn id="53" xr3:uid="{2210D00F-2519-4A0D-98B7-308F2AB1CA8D}" uniqueName="53" name="Zal op treden als (hoofdkorps)" queryTableFieldId="53" totalsRowDxfId="472"/>
    <tableColumn id="54" xr3:uid="{1F48BFE0-9CF5-49D7-B56B-84669B0D9436}" uniqueName="54" name="Vorm van twee muziekwerken (hoofdkorps)" queryTableFieldId="54" totalsRowDxfId="471"/>
    <tableColumn id="55" xr3:uid="{8F835307-A4DB-4825-B075-B613CBD852FA}" uniqueName="55" name="Zal uitkomen in de: (hoofdkorps)" queryTableFieldId="55" totalsRowDxfId="470"/>
    <tableColumn id="56" xr3:uid="{CA6ECD62-1A79-4686-9FBA-442FFFA474CC}" uniqueName="56" name="Muziekwerk1 (hoofdkorps)" queryTableFieldId="56" totalsRowDxfId="469"/>
    <tableColumn id="57" xr3:uid="{2980ED93-7393-4FD4-B05B-3124BFDD07A6}" uniqueName="57" name="Muziekwerk2 (hoofdkorps)" queryTableFieldId="57" totalsRowDxfId="468"/>
    <tableColumn id="58" xr3:uid="{1067520B-6F08-4692-8C03-EFACEEE9E679}" uniqueName="58" name="Korps bestaat uit ... deelnemers (hoofdkorps)" queryTableFieldId="58" dataDxfId="467" totalsRowDxfId="466"/>
    <tableColumn id="59" xr3:uid="{844D4ACC-4EB1-49D5-A2BF-A492647995F0}" uniqueName="59" name="Naam van het 2e korps" queryTableFieldId="59" totalsRowDxfId="465"/>
    <tableColumn id="60" xr3:uid="{B4C4C3CB-7EC3-4F60-A3B4-688D7786AA3C}" uniqueName="60" name="Zal op treden als (2e korps)" queryTableFieldId="60" totalsRowDxfId="464"/>
    <tableColumn id="61" xr3:uid="{AC1F0C8C-2274-4694-95F2-56D38F5823DF}" uniqueName="61" name="Vorm van twee muziekwerken (2e korps)" queryTableFieldId="61" totalsRowDxfId="463"/>
    <tableColumn id="62" xr3:uid="{B3251CE6-E945-4363-B0B0-8CFB87E14B04}" uniqueName="62" name="Zal uitkomen in de: (2e korps)" queryTableFieldId="62" totalsRowDxfId="462"/>
    <tableColumn id="63" xr3:uid="{82F79EC1-BABD-4651-95B5-EC56E3D7F27D}" uniqueName="63" name="Muziekwerk1 (2e korps)" queryTableFieldId="63" totalsRowDxfId="461"/>
    <tableColumn id="64" xr3:uid="{3115842D-1211-4573-A071-481B1AD5D1B5}" uniqueName="64" name="Muziekwerk2 (2e korps)" queryTableFieldId="64" dataDxfId="460" totalsRowDxfId="459"/>
    <tableColumn id="65" xr3:uid="{31512E68-61BE-4B4E-9739-D7EDFE57C6D9}" uniqueName="65" name="Korps bestaat uit ... deelnemers (2e korps)" queryTableFieldId="65" totalsRowDxfId="458"/>
    <tableColumn id="69" xr3:uid="{F621A4FD-C2AC-43F2-B8C7-A1C49692F415}" uniqueName="69" name="Mechanische muziek" queryTableFieldId="69" dataDxfId="457" totalsRowDxfId="456"/>
    <tableColumn id="66" xr3:uid="{312CDF19-2DCB-490A-8052-DD9F42AFB7DD}" uniqueName="66" name="Onderdelen" queryTableFieldId="66" dataDxfId="455" totalsRowDxfId="454"/>
    <tableColumn id="67" xr3:uid="{20A6A111-B6B9-4A3C-949D-2D5F3F2463CC}" uniqueName="67" name="Secties" queryTableFieldId="67" dataDxfId="453" totalsRowDxfId="452"/>
    <tableColumn id="68" xr3:uid="{AAE06610-1276-4DD6-9CAD-863DA3C40779}" uniqueName="68" name="Leeftijdscategorie" queryTableFieldId="68" dataDxfId="451" totalsRowDxfId="450"/>
    <tableColumn id="70" xr3:uid="{34BF71AC-4951-4715-BE87-90E791389154}" uniqueName="70" name="Aantal opgegeven majorettes" totalsRowFunction="sum" queryTableFieldId="70" totalsRowDxfId="449"/>
    <tableColumn id="78" xr3:uid="{5D3F3AC7-30D0-0C4E-9C2A-F176D320E02F}" uniqueName="78" name="Column1" queryTableFieldId="124" dataDxfId="448"/>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5DD99D-2F07-4FE5-B31E-FFC68007A593}" name="KDRvNB" displayName="KDRvNB" ref="A6:BW21" tableType="queryTable" totalsRowCount="1" headerRowDxfId="447" dataDxfId="446" totalsRowDxfId="445">
  <autoFilter ref="A6:BW20" xr:uid="{7B5DD99D-2F07-4FE5-B31E-FFC68007A593}"/>
  <tableColumns count="75">
    <tableColumn id="1" xr3:uid="{B42082E0-74DB-4949-8E35-E9A859804A26}" uniqueName="1" name="Kringdag" totalsRowLabel="Totaal" queryTableFieldId="1" dataDxfId="444"/>
    <tableColumn id="2" xr3:uid="{47866B58-4A45-45DB-8349-C2FBE6042C02}" uniqueName="2" name="Ver.nr" queryTableFieldId="2" dataDxfId="443"/>
    <tableColumn id="3" xr3:uid="{D5B235C5-C286-495E-BCBA-47745390A66E}" uniqueName="3" name="Naam vereniging" totalsRowFunction="count" queryTableFieldId="3" dataDxfId="442"/>
    <tableColumn id="4" xr3:uid="{FC31E2DE-14C2-4E55-85F8-E0109E214D05}" uniqueName="4" name="Delegatie" totalsRowFunction="custom" queryTableFieldId="4" dataDxfId="441" totalsRowDxfId="440">
      <totalsRowFormula>COUNTIF(KDRvNB[Delegatie],"x")</totalsRowFormula>
    </tableColumn>
    <tableColumn id="5" xr3:uid="{743BD746-74B9-4A86-A1CA-CBE9896E6A85}" uniqueName="5" name="Muziekkorps bij mars en defilé" totalsRowFunction="custom" queryTableFieldId="5" dataDxfId="439" totalsRowDxfId="438">
      <totalsRowFormula>COUNTIF(KDRvNB[Muziekkorps bij mars en defilé],"x")</totalsRowFormula>
    </tableColumn>
    <tableColumn id="6" xr3:uid="{D1D3EC3D-8B9F-47A1-9A70-923F51EB8A10}" uniqueName="6" name="Deeln. jeugdkoningschieten" totalsRowFunction="custom" queryTableFieldId="6" dataDxfId="437" totalsRowDxfId="436">
      <totalsRowFormula>COUNTIF(KDRvNB[Deeln. jeugdkoningschieten],"x")</totalsRowFormula>
    </tableColumn>
    <tableColumn id="7" xr3:uid="{39C00582-4386-4EEA-B883-3387D078164A}" uniqueName="7" name="Maj. Senioren jureren bij mars" totalsRowFunction="custom" queryTableFieldId="7" dataDxfId="435" totalsRowDxfId="434">
      <totalsRowFormula>COUNTIF(KDRvNB[Maj. Senioren jureren bij mars],"x")</totalsRowFormula>
    </tableColumn>
    <tableColumn id="8" xr3:uid="{4E9FA65C-BE60-48DA-B279-01D2C843F0E0}" uniqueName="8" name="Maj. Jeugd jureren bij mars" totalsRowFunction="custom" queryTableFieldId="8" dataDxfId="433" totalsRowDxfId="432">
      <totalsRowFormula>COUNTIF(KDRvNB[Maj. Jeugd jureren bij mars],"x")</totalsRowFormula>
    </tableColumn>
    <tableColumn id="9" xr3:uid="{EFA0D6B1-D99C-40A9-86CF-608DA41F1972}" uniqueName="9" name="Korps senioren" totalsRowFunction="count" queryTableFieldId="9" dataDxfId="431" totalsRowDxfId="430"/>
    <tableColumn id="10" xr3:uid="{632564B9-80BF-4EE0-AD7D-B7AD5B403386}" uniqueName="10" name="Junioren korps 1" totalsRowFunction="count" queryTableFieldId="106" totalsRowDxfId="429"/>
    <tableColumn id="11" xr3:uid="{2BBE822F-4082-4C0F-89C6-E3899B434027}" uniqueName="11" name="Junioren korps 2" totalsRowFunction="count" queryTableFieldId="107" totalsRowDxfId="428"/>
    <tableColumn id="26" xr3:uid="{D49E85C0-A527-4F96-8273-342DE4E6468D}" uniqueName="26" name="Aspiranten korps 1" totalsRowFunction="count" queryTableFieldId="108" totalsRowDxfId="427"/>
    <tableColumn id="30" xr3:uid="{D5CC78F7-E3D4-4BA1-8F91-7CAFE6279E9C}" uniqueName="30" name="Aspiranten korps 2" totalsRowFunction="count" queryTableFieldId="109" totalsRowDxfId="426"/>
    <tableColumn id="12" xr3:uid="{70A20D86-F728-446F-9730-5B328A909B16}" uniqueName="12" name="Acrobatisch senioren" totalsRowFunction="count" queryTableFieldId="12" dataDxfId="425" totalsRowDxfId="424"/>
    <tableColumn id="13" xr3:uid="{9E02CCEF-987E-4D1E-9F70-0FFFD16E0DCB}" uniqueName="13" name="Acrobatisch junioren" totalsRowFunction="count" queryTableFieldId="13" dataDxfId="423" totalsRowDxfId="422"/>
    <tableColumn id="14" xr3:uid="{3AFD9C15-E86E-4AD5-AFA3-9A2B7390A6E8}" uniqueName="14" name="Acrobatisch aspiranten" totalsRowFunction="count" queryTableFieldId="14" dataDxfId="421" totalsRowDxfId="420"/>
    <tableColumn id="15" xr3:uid="{4595B28A-98C1-4523-85BD-3DDE65724380}" uniqueName="15" name="Show senioren" queryTableFieldId="15" dataDxfId="419" totalsRowDxfId="418"/>
    <tableColumn id="16" xr3:uid="{36C89C09-7EDA-4C43-BFA9-CC5F23DF32C2}" uniqueName="16" name="Show junioren" queryTableFieldId="16" dataDxfId="417" totalsRowDxfId="416"/>
    <tableColumn id="17" xr3:uid="{668F2608-E64B-4D23-A53B-B397B1D7F441}" uniqueName="17" name="Show aspiranten" queryTableFieldId="17" dataDxfId="415" totalsRowDxfId="414"/>
    <tableColumn id="18" xr3:uid="{D48B7191-F089-4D06-99A0-3C94801AA07D}" uniqueName="18" name="Senioren indiv." totalsRowFunction="sum" queryTableFieldId="18" dataDxfId="413" totalsRowDxfId="412"/>
    <tableColumn id="19" xr3:uid="{0EE4F30B-5A5D-4059-8E0A-9547572CE7CD}" uniqueName="19" name="Junioren indiv." totalsRowFunction="sum" queryTableFieldId="19" dataDxfId="411" totalsRowDxfId="410"/>
    <tableColumn id="20" xr3:uid="{FDF7EED4-C61B-4E58-9C3D-5F64668F3F1D}" uniqueName="20" name="Aspiranten indiv." totalsRowFunction="sum" queryTableFieldId="20" dataDxfId="409" totalsRowDxfId="408"/>
    <tableColumn id="21" xr3:uid="{C1F53052-FEDA-4814-A308-72F09F640DEB}" uniqueName="21" name="Sen. ind opgegeven namen" totalsRowFunction="sum" queryTableFieldId="21" dataDxfId="407" totalsRowDxfId="406"/>
    <tableColumn id="22" xr3:uid="{1C6D3A34-19A1-467C-BCCD-7E68ED3883A1}" uniqueName="22" name="Jun. ind opgegeven namen" totalsRowFunction="sum" queryTableFieldId="22" dataDxfId="405" totalsRowDxfId="404"/>
    <tableColumn id="23" xr3:uid="{67353617-011D-4F5D-9E7D-02927430BFEF}" uniqueName="23" name="Asp. ind opgegeven namen" totalsRowFunction="sum" queryTableFieldId="23" dataDxfId="403" totalsRowDxfId="402"/>
    <tableColumn id="24" xr3:uid="{DE9B8CB3-FDA8-419B-96F4-B781AB5D0FA0}" uniqueName="24" name="Hoofdkorps" totalsRowFunction="custom" queryTableFieldId="24" dataDxfId="401" totalsRowDxfId="400">
      <totalsRowFormula>COUNTIF(KDRvNB[Hoofdkorps],"x")</totalsRowFormula>
    </tableColumn>
    <tableColumn id="25" xr3:uid="{4F05E2A0-4138-4D1F-AE2C-2A654429F3D6}" uniqueName="25" name="2e korps" totalsRowFunction="custom" queryTableFieldId="25" dataDxfId="399" totalsRowDxfId="398">
      <totalsRowFormula>COUNTIF(KDRvNB[2e korps],"x")</totalsRowFormula>
    </tableColumn>
    <tableColumn id="31" xr3:uid="{73BAC8BE-23F3-4460-B518-ADAFDEB40510}" uniqueName="31" name="Groepen, teams, ensembles en duo's" totalsRowFunction="sum" queryTableFieldId="74" totalsRowDxfId="397"/>
    <tableColumn id="27" xr3:uid="{82F0E3A4-A915-4065-9F2F-7E6CB47AC3D0}" uniqueName="27" name="Senioren" totalsRowFunction="sum" queryTableFieldId="27" dataDxfId="396" totalsRowDxfId="395"/>
    <tableColumn id="32" xr3:uid="{CF885C7D-918D-4FFB-8613-DC71A36CDBE4}" uniqueName="32" name="Jong volwassene" totalsRowFunction="sum" queryTableFieldId="75" totalsRowDxfId="394"/>
    <tableColumn id="28" xr3:uid="{E85FE71A-C8E3-445C-95F4-06AF9F082A44}" uniqueName="28" name="Junioren" totalsRowFunction="sum" queryTableFieldId="28" dataDxfId="393" totalsRowDxfId="392"/>
    <tableColumn id="29" xr3:uid="{011E5AFC-E767-45D2-BF94-FB0AA9C85AEF}" uniqueName="29" name="Aspiranten" totalsRowFunction="sum" queryTableFieldId="29" dataDxfId="391" totalsRowDxfId="390"/>
    <tableColumn id="35" xr3:uid="{EBB3E55A-D245-437B-9F2B-25F854C76501}" uniqueName="35" name="Opgegeven senioren" totalsRowFunction="sum" queryTableFieldId="76" totalsRowDxfId="389"/>
    <tableColumn id="37" xr3:uid="{E48CD7BD-E051-4F1E-BBE0-802DBA7F8785}" uniqueName="37" name="Opgegeven jong volwassene" totalsRowFunction="sum" queryTableFieldId="77" totalsRowDxfId="388"/>
    <tableColumn id="39" xr3:uid="{1062A42E-CB1E-4CFB-8272-1F3792CD71CA}" uniqueName="39" name="Opgegeven junioren" totalsRowFunction="sum" queryTableFieldId="78" totalsRowDxfId="387"/>
    <tableColumn id="41" xr3:uid="{A7B59E37-143B-4411-88DF-F242A9A06746}" uniqueName="41" name="Opgegeven aspiranten" totalsRowFunction="sum" queryTableFieldId="79" totalsRowDxfId="386"/>
    <tableColumn id="33" xr3:uid="{70B20891-379D-42C9-8759-929B7C801C07}" uniqueName="33" name="Marketentsters" totalsRowFunction="custom" queryTableFieldId="33" dataDxfId="385" totalsRowDxfId="384">
      <totalsRowFormula>COUNTIF(KDRvNB[Marketentsters],"x")</totalsRowFormula>
    </tableColumn>
    <tableColumn id="34" xr3:uid="{FBDAAC23-CCC3-4EC0-BB16-0B31264633F4}" uniqueName="34" name="Luchtgeweer" totalsRowFunction="custom" queryTableFieldId="34" dataDxfId="383" totalsRowDxfId="382">
      <totalsRowFormula>COUNTIF(KDRvNB[Luchtgeweer],"x")</totalsRowFormula>
    </tableColumn>
    <tableColumn id="42" xr3:uid="{24F13D70-9263-4DDF-A235-FD6B8B26266A}" uniqueName="42" name="Aantal luchtgeweerschutters" totalsRowFunction="sum" queryTableFieldId="80" totalsRowDxfId="381"/>
    <tableColumn id="36" xr3:uid="{6CBF3609-5010-4E2C-AC4F-07BFAC337B4F}" uniqueName="36" name="Luchtpistool" totalsRowFunction="custom" queryTableFieldId="36" dataDxfId="380" totalsRowDxfId="379">
      <totalsRowFormula>COUNTIF(KDRvNB[Luchtpistool],"x")</totalsRowFormula>
    </tableColumn>
    <tableColumn id="43" xr3:uid="{C393A973-FD8D-4A10-982E-E97F1A805E28}" uniqueName="43" name="Aantal luchtpistoolschutters" totalsRowFunction="sum" queryTableFieldId="81" totalsRowDxfId="378"/>
    <tableColumn id="40" xr3:uid="{670B83B2-B798-4686-AC31-18B4012ACD32}" uniqueName="40" name="Handboog" totalsRowFunction="custom" queryTableFieldId="40" dataDxfId="377" totalsRowDxfId="376">
      <totalsRowFormula>COUNTIF(KDRvNB[Handboog],"x")</totalsRowFormula>
    </tableColumn>
    <tableColumn id="44" xr3:uid="{E6F794C2-3817-417C-8810-8334633C414B}" uniqueName="44" name="Aantal handboogschutters" totalsRowFunction="sum" queryTableFieldId="82" totalsRowDxfId="375"/>
    <tableColumn id="38" xr3:uid="{9C03B735-F304-466D-A1C4-1C0937DD55E6}" uniqueName="38" name="Kruisboog" totalsRowFunction="custom" queryTableFieldId="38" dataDxfId="374" totalsRowDxfId="373">
      <totalsRowFormula>COUNTIF(KDRvNB[Kruisboog],"x")</totalsRowFormula>
    </tableColumn>
    <tableColumn id="71" xr3:uid="{03EB338E-F00D-40E8-907E-B97BDC6559CA}" uniqueName="71" name="Aantal kruisboogschutters" totalsRowFunction="sum" queryTableFieldId="83" totalsRowDxfId="372"/>
    <tableColumn id="72" xr3:uid="{285F447E-7326-45B3-8150-74F29EB49BB2}" uniqueName="72" name="Luchtgeweer jeugd niet ouder dan 17 jaar." totalsRowFunction="custom" queryTableFieldId="84" dataDxfId="371" totalsRowDxfId="370">
      <totalsRowFormula>COUNTIF(KDRvNB[Luchtgeweer jeugd niet ouder dan 17 jaar.],"x")</totalsRowFormula>
    </tableColumn>
    <tableColumn id="73" xr3:uid="{3A67694F-3F22-4A63-943B-CAD44BC1951B}" uniqueName="73" name="Aantal korpsen" totalsRowFunction="sum" queryTableFieldId="85" totalsRowDxfId="369"/>
    <tableColumn id="74" xr3:uid="{C7B1D8C3-CD69-46BB-B8EF-3F0A7B7E812A}" uniqueName="74" name="Opgegeven jeugdkorpsen LG" totalsRowFunction="sum" queryTableFieldId="86" totalsRowDxfId="368"/>
    <tableColumn id="45" xr3:uid="{2E0BDF72-C038-43B2-B6CF-DFB9D6093FA3}" uniqueName="45" name="Totaal aantal deelnemers" totalsRowFunction="sum" queryTableFieldId="45" dataDxfId="367" totalsRowDxfId="366"/>
    <tableColumn id="46" xr3:uid="{5E1BF68D-462C-409C-978D-1318A9143282}" uniqueName="46" name="Waarvan aantal jeugd (t/m 15 jaar)" totalsRowFunction="sum" queryTableFieldId="46" dataDxfId="365" totalsRowDxfId="364"/>
    <tableColumn id="47" xr3:uid="{8A13F570-A52A-4AD2-BC9A-520454870C49}" uniqueName="47" name="Kanon etc." totalsRowFunction="custom" queryTableFieldId="47" dataDxfId="363" totalsRowDxfId="362">
      <totalsRowFormula>COUNTIF(KDRvNB[Kanon etc.],"x")</totalsRowFormula>
    </tableColumn>
    <tableColumn id="48" xr3:uid="{0444CE5A-A537-4AA1-A567-0413645D4AE8}" uniqueName="48" name="Paarden en/of koetsen" totalsRowFunction="custom" queryTableFieldId="48" dataDxfId="361" totalsRowDxfId="360">
      <totalsRowFormula>COUNTIF(KDRvNB[Paarden en/of koetsen],"x")</totalsRowFormula>
    </tableColumn>
    <tableColumn id="49" xr3:uid="{E6CD3893-5116-41A8-997A-AC4CE71AB4D7}" uniqueName="49" name="Toelichting/opmerkingen" queryTableFieldId="49" dataDxfId="359" totalsRowDxfId="358"/>
    <tableColumn id="50" xr3:uid="{D30A42E9-05F3-4D27-AADE-91D7208D65F3}" uniqueName="50" name="Inzending-ID" queryTableFieldId="50" dataDxfId="357" totalsRowDxfId="356"/>
    <tableColumn id="51" xr3:uid="{994F13E0-9F42-4EC0-9C25-32468DC3D4EF}" uniqueName="51" name="Inzenddatum" queryTableFieldId="51" dataDxfId="355" totalsRowDxfId="354"/>
    <tableColumn id="75" xr3:uid="{AACADDA0-B957-4C95-BC88-FFD64633A5C3}" uniqueName="75" name="Date Updated" queryTableFieldId="87" dataDxfId="353" totalsRowDxfId="352"/>
    <tableColumn id="52" xr3:uid="{536E9C37-AE5D-4771-B866-84F7EFC28977}" uniqueName="52" name="Naam van het hoofdkorps" queryTableFieldId="52" dataDxfId="351" totalsRowDxfId="350"/>
    <tableColumn id="53" xr3:uid="{22E584B9-D500-41BB-8BF2-C5EC64BA4A42}" uniqueName="53" name="Zal op treden als (hoofdkorps)" queryTableFieldId="53" dataDxfId="349" totalsRowDxfId="348"/>
    <tableColumn id="54" xr3:uid="{61D13E15-1C39-4998-AA76-3572993DA605}" uniqueName="54" name="Vorm van twee muziekwerken (hoofdkorps)" queryTableFieldId="54" dataDxfId="347" totalsRowDxfId="346"/>
    <tableColumn id="55" xr3:uid="{94ED26B9-C100-4987-8FE7-275434ADD182}" uniqueName="55" name="Zal uitkomen in de: (hoofdkorps)" queryTableFieldId="55" dataDxfId="345" totalsRowDxfId="344"/>
    <tableColumn id="56" xr3:uid="{04D6D9F4-11A1-4E44-A1CE-1D67D85CBCD9}" uniqueName="56" name="Muziekwerk1 (hoofdkorps)" queryTableFieldId="56" dataDxfId="343" totalsRowDxfId="342"/>
    <tableColumn id="57" xr3:uid="{1FCC70C9-1F01-4EE9-9783-A3F86B50143B}" uniqueName="57" name="Muziekwerk2 (hoofdkorps)" queryTableFieldId="57" dataDxfId="341" totalsRowDxfId="340"/>
    <tableColumn id="58" xr3:uid="{4059FC07-4172-4C8D-8C7E-169B90488A40}" uniqueName="58" name="Korps bestaat uit ... deelnemers (hoofdkorps)" queryTableFieldId="58" dataDxfId="339" totalsRowDxfId="338"/>
    <tableColumn id="59" xr3:uid="{642F325A-6533-45FF-8881-86FE0F8A3537}" uniqueName="59" name="Naam van het 2e korps" queryTableFieldId="59" dataDxfId="337" totalsRowDxfId="336"/>
    <tableColumn id="60" xr3:uid="{FD281AB3-5A3D-4BA1-8114-EE4A4C9A4D3E}" uniqueName="60" name="Zal op treden als (2e korps)" queryTableFieldId="60" dataDxfId="335" totalsRowDxfId="334"/>
    <tableColumn id="61" xr3:uid="{01EF27E7-EFAF-43A3-89C4-695FA0FEFEDA}" uniqueName="61" name="Vorm van twee muziekwerken (2e korps)" queryTableFieldId="61" dataDxfId="333" totalsRowDxfId="332"/>
    <tableColumn id="62" xr3:uid="{C9A48CA6-16D8-4CA7-82A7-53D3636C8375}" uniqueName="62" name="Zal uitkomen in de: (2e korps)" queryTableFieldId="62" dataDxfId="331" totalsRowDxfId="330"/>
    <tableColumn id="63" xr3:uid="{EF024D81-620C-4E45-87DB-62BEA0571007}" uniqueName="63" name="Muziekwerk1 (2e korps)" queryTableFieldId="63" dataDxfId="329" totalsRowDxfId="328"/>
    <tableColumn id="64" xr3:uid="{5DDAF5F0-1DBE-4871-8B19-C22FFA31B9BD}" uniqueName="64" name="Muziekwerk2 (2e korps)" queryTableFieldId="64" dataDxfId="327" totalsRowDxfId="326"/>
    <tableColumn id="65" xr3:uid="{76F1C6F1-D484-41E2-AF8C-221FB3C3442F}" uniqueName="65" name="Korps bestaat uit ... deelnemers (2e korps)" queryTableFieldId="65" dataDxfId="325" totalsRowDxfId="324"/>
    <tableColumn id="69" xr3:uid="{8723417E-0056-48DB-BD7C-CFD726D1E90E}" uniqueName="69" name="Mechanische muziek" queryTableFieldId="69" dataDxfId="323" totalsRowDxfId="322"/>
    <tableColumn id="66" xr3:uid="{A258ECB5-EA42-47A3-9965-66B4540827F3}" uniqueName="66" name="Onderdelen" queryTableFieldId="66" dataDxfId="321" totalsRowDxfId="320"/>
    <tableColumn id="67" xr3:uid="{276716A1-6C96-4B1C-ABEA-171ACB050A77}" uniqueName="67" name="Secties" queryTableFieldId="67" dataDxfId="319" totalsRowDxfId="318"/>
    <tableColumn id="68" xr3:uid="{07574B23-6B09-4583-80FD-023D2E8ACABE}" uniqueName="68" name="Leeftijdscategorie" queryTableFieldId="68" dataDxfId="317" totalsRowDxfId="316"/>
    <tableColumn id="70" xr3:uid="{7CBECFE5-28C8-4F6D-94C3-BF35CCED0979}" uniqueName="70" name="Aantal opgegeven majorettes" totalsRowFunction="sum" queryTableFieldId="70" dataDxfId="315" totalsRowDxfId="314"/>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F8B779F-4064-423E-8082-2381B0C548D1}" name="LJ" displayName="LJ" ref="A6:BW7" tableType="queryTable" totalsRowShown="0" headerRowDxfId="313">
  <autoFilter ref="A6:BW7" xr:uid="{4F8B779F-4064-423E-8082-2381B0C548D1}"/>
  <tableColumns count="75">
    <tableColumn id="1" xr3:uid="{5FE8EE3F-AD35-48A6-85F6-BDFB105B0725}" uniqueName="1" name="Kringdag" queryTableFieldId="1" dataDxfId="312"/>
    <tableColumn id="2" xr3:uid="{9BCFCC0D-6A6A-4A94-8347-6671F120F3AC}" uniqueName="2" name="Ver.nr" queryTableFieldId="2" dataDxfId="311"/>
    <tableColumn id="3" xr3:uid="{19B2C186-27FD-419C-B197-8025BF5CFE71}" uniqueName="3" name="Naam vereniging" queryTableFieldId="3" dataDxfId="310"/>
    <tableColumn id="4" xr3:uid="{D3334820-466D-4BDD-B965-0B7E193F3233}" uniqueName="4" name="Delegatie" queryTableFieldId="4" dataDxfId="309"/>
    <tableColumn id="5" xr3:uid="{46317316-8382-49B2-BA5D-6FEDF3FD7884}" uniqueName="5" name="Muziekkorps bij mars en defilé" queryTableFieldId="5" dataDxfId="308"/>
    <tableColumn id="6" xr3:uid="{13D83B93-BCD1-4CD4-9C3F-433F446A5723}" uniqueName="6" name="Deeln. jeugdkoningschieten" queryTableFieldId="6" dataDxfId="307"/>
    <tableColumn id="7" xr3:uid="{89928C9B-C271-4E70-965C-A19CB2581977}" uniqueName="7" name="Maj. Senioren jureren bij mars" queryTableFieldId="7" dataDxfId="306"/>
    <tableColumn id="8" xr3:uid="{02A99D9F-6464-4218-A98E-811C81615D5C}" uniqueName="8" name="Maj. Jeugd jureren bij mars" queryTableFieldId="8" dataDxfId="305"/>
    <tableColumn id="9" xr3:uid="{CAD36238-5F96-47BD-B57F-DD6532718290}" uniqueName="9" name="Korps senioren" queryTableFieldId="9" dataDxfId="304"/>
    <tableColumn id="10" xr3:uid="{E85CFA93-54A2-4E31-85FE-7FEFD8641F8E}" uniqueName="10" name="Junioren korps 1" queryTableFieldId="104"/>
    <tableColumn id="11" xr3:uid="{C6BACE44-D4CB-4215-A3C3-539AAB5FB41C}" uniqueName="11" name="Junioren korps 2" queryTableFieldId="105"/>
    <tableColumn id="26" xr3:uid="{629685E4-7852-4956-97AC-86BF9C7AC0F9}" uniqueName="26" name="Aspiranten korps 1" queryTableFieldId="106"/>
    <tableColumn id="30" xr3:uid="{F8BDC429-9CDD-4125-AD5F-52CD2851CBA4}" uniqueName="30" name="Aspiranten korps 2" queryTableFieldId="107"/>
    <tableColumn id="12" xr3:uid="{0671084D-0D3B-4D86-86A9-2FCF796FF887}" uniqueName="12" name="Acrobatisch senioren" queryTableFieldId="12" dataDxfId="303"/>
    <tableColumn id="13" xr3:uid="{652975E7-D8A2-418E-9E7D-70CF9AC7B67B}" uniqueName="13" name="Acrobatisch junioren" queryTableFieldId="13" dataDxfId="302"/>
    <tableColumn id="14" xr3:uid="{7D143A4D-59D1-43DC-9801-318329105B70}" uniqueName="14" name="Acrobatisch aspiranten" queryTableFieldId="14" dataDxfId="301"/>
    <tableColumn id="15" xr3:uid="{22E52461-0B78-4950-B7A2-9190EC07FB64}" uniqueName="15" name="Show senioren" queryTableFieldId="15" dataDxfId="300"/>
    <tableColumn id="16" xr3:uid="{164C10B7-0CCB-4FBA-9EDF-36DD8C3E8585}" uniqueName="16" name="Show junioren" queryTableFieldId="16" dataDxfId="299"/>
    <tableColumn id="17" xr3:uid="{7F98B6E0-7F7C-4A4D-BEF0-395CC5476215}" uniqueName="17" name="Show aspiranten" queryTableFieldId="17" dataDxfId="298"/>
    <tableColumn id="18" xr3:uid="{25275654-3B66-4EC8-A412-DF64E362810F}" uniqueName="18" name="Senioren indiv." queryTableFieldId="18" dataDxfId="297"/>
    <tableColumn id="19" xr3:uid="{E061961B-1A71-4111-B704-2167D4FDCA04}" uniqueName="19" name="Junioren indiv." queryTableFieldId="19" dataDxfId="296"/>
    <tableColumn id="20" xr3:uid="{7986702B-614E-495B-88C8-CC1A210170CF}" uniqueName="20" name="Aspiranten indiv." queryTableFieldId="20" dataDxfId="295"/>
    <tableColumn id="21" xr3:uid="{A5461B4C-B2D1-498B-A848-42A3BC7A8BC4}" uniqueName="21" name="Sen. ind opgegeven namen" queryTableFieldId="21" dataDxfId="294"/>
    <tableColumn id="22" xr3:uid="{BEE788A5-74B3-4FB3-907A-7BF2432D6207}" uniqueName="22" name="Jun. ind opgegeven namen" queryTableFieldId="22" dataDxfId="293"/>
    <tableColumn id="23" xr3:uid="{8E05A72F-E53E-401A-8B0B-592CC8CBB173}" uniqueName="23" name="Asp. ind opgegeven namen" queryTableFieldId="23" dataDxfId="292"/>
    <tableColumn id="24" xr3:uid="{D7485158-293F-4E3D-98D2-CF55D58B12AF}" uniqueName="24" name="Hoofdkorps" queryTableFieldId="24" dataDxfId="291"/>
    <tableColumn id="25" xr3:uid="{AB010968-2E7B-460C-8993-AC1D70D3BD4E}" uniqueName="25" name="2e korps" queryTableFieldId="25" dataDxfId="290"/>
    <tableColumn id="31" xr3:uid="{34744077-C62E-48CE-9727-2B1CD76BEDBC}" uniqueName="31" name="Groepen, teams, ensembles en duo's" queryTableFieldId="72"/>
    <tableColumn id="27" xr3:uid="{599500F2-464C-4024-AAAB-8143C92D5AA7}" uniqueName="27" name="Senioren" queryTableFieldId="27" dataDxfId="289"/>
    <tableColumn id="32" xr3:uid="{AAC23FE4-6A55-4F3F-B5DA-621F4A965531}" uniqueName="32" name="Jong volwassene" queryTableFieldId="73"/>
    <tableColumn id="28" xr3:uid="{A995C14A-D6B8-4E52-B230-85D46C534476}" uniqueName="28" name="Junioren" queryTableFieldId="28" dataDxfId="288"/>
    <tableColumn id="29" xr3:uid="{210EE2AB-E41F-4188-A61F-76AB62A874A5}" uniqueName="29" name="Aspiranten" queryTableFieldId="29" dataDxfId="287"/>
    <tableColumn id="38" xr3:uid="{ED65980F-756D-4E2B-9049-AA3434C09965}" uniqueName="38" name="Opgegeven senioren" queryTableFieldId="74"/>
    <tableColumn id="39" xr3:uid="{85A913A2-DB2D-473D-B40F-376E74A1C01D}" uniqueName="39" name="Opgegeven jong volwassene" queryTableFieldId="75"/>
    <tableColumn id="66" xr3:uid="{6F5192E5-1B91-4B51-9EA0-7453F4B7B17A}" uniqueName="66" name="Opgegeven junioren" queryTableFieldId="76"/>
    <tableColumn id="67" xr3:uid="{95B815EB-3996-4F6E-AD75-4CDFD93F7051}" uniqueName="67" name="Opgegeven aspiranten" queryTableFieldId="77"/>
    <tableColumn id="33" xr3:uid="{21ED27EA-920A-476C-A987-C886705272C8}" uniqueName="33" name="Marketentsters" queryTableFieldId="33" dataDxfId="286"/>
    <tableColumn id="34" xr3:uid="{A3734509-3769-4BF8-B534-139916BF52A0}" uniqueName="34" name="Luchtgeweer" queryTableFieldId="34" dataDxfId="285"/>
    <tableColumn id="68" xr3:uid="{F3C084A4-77EF-4E7A-9A92-9EA8703884F5}" uniqueName="68" name="Aantal luchtgeweerschutters" queryTableFieldId="78"/>
    <tableColumn id="35" xr3:uid="{1ED86575-D359-4926-BEF3-9C7AE94C3A86}" uniqueName="35" name="Luchtpistool" queryTableFieldId="35" dataDxfId="284"/>
    <tableColumn id="69" xr3:uid="{2DEBD8E0-C520-46B4-9BA0-A78BFAF216BA}" uniqueName="69" name="Aantal luchtpistoolschutters" queryTableFieldId="79"/>
    <tableColumn id="37" xr3:uid="{067FF6A5-1097-446D-83C7-E12AC30F6D58}" uniqueName="37" name="Handboog" queryTableFieldId="37" dataDxfId="283"/>
    <tableColumn id="70" xr3:uid="{63E98E26-99A4-4F5F-A89F-13E5EB533A70}" uniqueName="70" name="Aantal handboogschutters" queryTableFieldId="80"/>
    <tableColumn id="36" xr3:uid="{02F8BD9B-9513-4067-B58F-BCD37B8D4FA4}" uniqueName="36" name="Kruisboog" queryTableFieldId="36" dataDxfId="282"/>
    <tableColumn id="71" xr3:uid="{EEFF6F95-61D3-4BBB-B11E-D55A71246670}" uniqueName="71" name="Aantal kruisboogschutters" queryTableFieldId="81"/>
    <tableColumn id="72" xr3:uid="{B34522E3-4006-454F-B02C-47071B21675C}" uniqueName="72" name="Luchtgeweer jeugd niet ouder dan 17 jaar." queryTableFieldId="82" dataDxfId="281"/>
    <tableColumn id="73" xr3:uid="{813B1FCC-A6C1-4D1E-9342-C3F8FDE217C5}" uniqueName="73" name="Aantal korpsen" queryTableFieldId="83"/>
    <tableColumn id="74" xr3:uid="{A5007B21-DE97-42AC-9201-C89E60AAADA0}" uniqueName="74" name="Opgegeven jeugdkorpsen LG" queryTableFieldId="84"/>
    <tableColumn id="40" xr3:uid="{D1DF0CC4-6AFA-4F26-94E7-B3FEE75658C3}" uniqueName="40" name="Totaal aantal deelnemers" queryTableFieldId="40" dataDxfId="280"/>
    <tableColumn id="41" xr3:uid="{DDE8DCDB-5F0F-41D4-9355-EDE72098650B}" uniqueName="41" name="Waarvan aantal jeugd (t/m 15 jaar)" queryTableFieldId="41" dataDxfId="279"/>
    <tableColumn id="42" xr3:uid="{4AD23B45-1194-4899-8A72-51863633B198}" uniqueName="42" name="Kanon etc." queryTableFieldId="42" dataDxfId="278"/>
    <tableColumn id="43" xr3:uid="{0D9B4516-9153-4C8A-A67A-D8C61F99DC5C}" uniqueName="43" name="Paarden en/of koetsen" queryTableFieldId="43" dataDxfId="277"/>
    <tableColumn id="44" xr3:uid="{70404585-6E1E-4735-9635-0D99B20FBC26}" uniqueName="44" name="Toelichting/opmerkingen" queryTableFieldId="44" dataDxfId="276"/>
    <tableColumn id="45" xr3:uid="{93E5C4CD-053E-41C7-AD4F-D627752F5406}" uniqueName="45" name="Inzending-ID" queryTableFieldId="45" dataDxfId="275"/>
    <tableColumn id="46" xr3:uid="{28BA3F0A-7B5B-4370-BB77-C1D614B0BA57}" uniqueName="46" name="Inzenddatum" queryTableFieldId="46" dataDxfId="274"/>
    <tableColumn id="75" xr3:uid="{28473866-4557-4C5B-984A-95416A587C6E}" uniqueName="75" name="Date Updated" queryTableFieldId="85" dataDxfId="273"/>
    <tableColumn id="47" xr3:uid="{8BAA550D-B5A2-4704-807E-D080519E7C8E}" uniqueName="47" name="Naam van het hoofdkorps" queryTableFieldId="47" dataDxfId="272"/>
    <tableColumn id="48" xr3:uid="{4C0B3A23-738E-48D6-B7A1-DB4B66FC7108}" uniqueName="48" name="Zal op treden als (hoofdkorps)" queryTableFieldId="48" dataDxfId="271"/>
    <tableColumn id="49" xr3:uid="{978EBC24-9211-4AD4-BA5E-892076319ACD}" uniqueName="49" name="Vorm van twee muziekwerken (hoofdkorps)" queryTableFieldId="49" dataDxfId="270"/>
    <tableColumn id="50" xr3:uid="{5876098D-128A-4F2B-9BDD-05D45807EBB2}" uniqueName="50" name="Zal uitkomen in de: (hoofdkorps)" queryTableFieldId="50" dataDxfId="269"/>
    <tableColumn id="51" xr3:uid="{05A18B09-3195-4A36-B169-BFC361010AF9}" uniqueName="51" name="Muziekwerk1 (hoofdkorps)" queryTableFieldId="51" dataDxfId="268"/>
    <tableColumn id="52" xr3:uid="{080589DF-D751-4E72-A1FF-D1499E799DFF}" uniqueName="52" name="Muziekwerk2 (hoofdkorps)" queryTableFieldId="52" dataDxfId="267"/>
    <tableColumn id="53" xr3:uid="{DBA6CB2B-424D-42B2-AEE2-173CFFC390B3}" uniqueName="53" name="Korps bestaat uit ... deelnemers (hoofdkorps)" queryTableFieldId="53" dataDxfId="266"/>
    <tableColumn id="54" xr3:uid="{0193C038-31CC-4C3D-B86C-79F592AFB69F}" uniqueName="54" name="Naam van het 2e korps" queryTableFieldId="54" dataDxfId="265"/>
    <tableColumn id="55" xr3:uid="{BF390BAF-759F-46A2-B089-A26594BD5AE3}" uniqueName="55" name="Zal op treden als (2e korps)" queryTableFieldId="55" dataDxfId="264"/>
    <tableColumn id="56" xr3:uid="{14E841BE-A956-401D-8BCB-786DD5C94AB2}" uniqueName="56" name="Vorm van twee muziekwerken (2e korps)" queryTableFieldId="56" dataDxfId="263"/>
    <tableColumn id="57" xr3:uid="{6B38B763-EDC5-43F3-B366-D91005BD8A10}" uniqueName="57" name="Zal uitkomen in de: (2e korps)" queryTableFieldId="57" dataDxfId="262"/>
    <tableColumn id="58" xr3:uid="{C7F25D80-94FE-4E9D-97DB-72DBE154F97B}" uniqueName="58" name="Muziekwerk1 (2e korps)" queryTableFieldId="58" dataDxfId="261"/>
    <tableColumn id="59" xr3:uid="{ED2D53AE-F005-432E-AE06-D5BCC146DE7B}" uniqueName="59" name="Muziekwerk2 (2e korps)" queryTableFieldId="59" dataDxfId="260"/>
    <tableColumn id="60" xr3:uid="{58169E12-99B5-492C-8129-4C808E23FA7B}" uniqueName="60" name="Korps bestaat uit ... deelnemers (2e korps)" queryTableFieldId="60" dataDxfId="259"/>
    <tableColumn id="64" xr3:uid="{4D6655B8-62D6-4EAB-A7FB-A89BE3494370}" uniqueName="64" name="Mechanische muziek" queryTableFieldId="64" dataDxfId="258"/>
    <tableColumn id="61" xr3:uid="{A2F2496B-A903-498D-AFCA-BABB37C97D6C}" uniqueName="61" name="Onderdelen" queryTableFieldId="61" dataDxfId="257"/>
    <tableColumn id="62" xr3:uid="{10DCF5A1-FD69-4824-9AC7-CD0F873384CD}" uniqueName="62" name="Secties" queryTableFieldId="62" dataDxfId="256"/>
    <tableColumn id="63" xr3:uid="{489834DB-73B0-4029-AA2F-15D1970AC822}" uniqueName="63" name="Leeftijdscategorie" queryTableFieldId="63" dataDxfId="255"/>
    <tableColumn id="65" xr3:uid="{BAC977F7-6EBE-47F3-A368-FEF310D3AC6C}" uniqueName="65" name="Aantal opgegeven majorettes" queryTableFieldId="65" dataDxfId="254"/>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3BE24FE-77E5-4EA1-8B0F-4712CD50A33E}" name="FSD" displayName="FSD" ref="A6:BW48" tableType="queryTable" totalsRowCount="1" headerRowDxfId="253" totalsRowDxfId="252">
  <autoFilter ref="A6:BW47" xr:uid="{73BE24FE-77E5-4EA1-8B0F-4712CD50A33E}"/>
  <tableColumns count="75">
    <tableColumn id="1" xr3:uid="{230D35B1-318E-4FC7-8CFE-CB72561A7C78}" uniqueName="1" name="Kringdag" totalsRowLabel="Totaal" queryTableFieldId="1" dataDxfId="251"/>
    <tableColumn id="2" xr3:uid="{98CF1A57-9A64-434E-8F7D-6C3D1E7CC1F3}" uniqueName="2" name="Ver.nr" queryTableFieldId="2" dataDxfId="250"/>
    <tableColumn id="3" xr3:uid="{A1938DE9-F00D-4BA8-8A5F-EE6F77AD45DA}" uniqueName="3" name="Naam vereniging" totalsRowFunction="count" queryTableFieldId="3" dataDxfId="249"/>
    <tableColumn id="4" xr3:uid="{8445C7DB-35BB-43B8-8DFD-7447E65AEC62}" uniqueName="4" name="Delegatie" totalsRowFunction="custom" queryTableFieldId="4" dataDxfId="248" totalsRowDxfId="247">
      <totalsRowFormula>COUNTIF(FSD[Delegatie],"x")</totalsRowFormula>
    </tableColumn>
    <tableColumn id="5" xr3:uid="{A7D8FD7D-5F90-4D5B-9819-8E1A5B2EAE3F}" uniqueName="5" name="Muziekkorps bij mars en defilé" totalsRowFunction="custom" queryTableFieldId="5" dataDxfId="246" totalsRowDxfId="245">
      <totalsRowFormula>COUNTIF(FSD[Muziekkorps bij mars en defilé],"x")</totalsRowFormula>
    </tableColumn>
    <tableColumn id="6" xr3:uid="{51EF7B06-BDD6-435B-A5D6-9D703B26EE37}" uniqueName="6" name="Deeln. jeugdkoningschieten" totalsRowFunction="custom" queryTableFieldId="6" dataDxfId="244" totalsRowDxfId="243">
      <totalsRowFormula>COUNTIF(FSD[Deeln. jeugdkoningschieten],"x")</totalsRowFormula>
    </tableColumn>
    <tableColumn id="7" xr3:uid="{FFA6CD71-9DBE-4EB0-AEE3-60F267D05DF9}" uniqueName="7" name="Maj. Senioren jureren bij mars" totalsRowFunction="custom" queryTableFieldId="7" dataDxfId="242" totalsRowDxfId="241">
      <totalsRowFormula>COUNTIF(FSD[Maj. Senioren jureren bij mars],"x")</totalsRowFormula>
    </tableColumn>
    <tableColumn id="8" xr3:uid="{322A5420-10BF-47E2-9B31-CA992EDA8F66}" uniqueName="8" name="Maj. Jeugd jureren bij mars" totalsRowFunction="custom" queryTableFieldId="8" dataDxfId="240" totalsRowDxfId="239">
      <totalsRowFormula>COUNTIF(FSD[Maj. Jeugd jureren bij mars],"x")</totalsRowFormula>
    </tableColumn>
    <tableColumn id="9" xr3:uid="{D68C2110-07D1-4FBE-AA9F-E4CC6B7C3081}" uniqueName="9" name="Korps senioren" totalsRowFunction="count" queryTableFieldId="9" dataDxfId="238" totalsRowDxfId="237"/>
    <tableColumn id="10" xr3:uid="{0E9FDA67-0BA2-440B-862C-AA13736A58A1}" uniqueName="10" name="Junioren korps 1" totalsRowFunction="count" queryTableFieldId="106" totalsRowDxfId="236"/>
    <tableColumn id="11" xr3:uid="{F1D8E8E6-F687-49A4-9578-08E116AFF37A}" uniqueName="11" name="Junioren korps 2" totalsRowFunction="count" queryTableFieldId="107" totalsRowDxfId="235"/>
    <tableColumn id="26" xr3:uid="{F2C10C82-BF45-4F2D-9F7A-DEBF4CCE992A}" uniqueName="26" name="Aspiranten korps 1" totalsRowFunction="count" queryTableFieldId="108" totalsRowDxfId="234"/>
    <tableColumn id="30" xr3:uid="{FCCB5B66-5964-450C-BBFA-4BA2596DC701}" uniqueName="30" name="Aspiranten korps 2" totalsRowFunction="count" queryTableFieldId="109" totalsRowDxfId="233"/>
    <tableColumn id="12" xr3:uid="{C04A0F2F-F380-4FEF-A0BC-8F43D2154B1F}" uniqueName="12" name="Acrobatisch senioren" totalsRowFunction="count" queryTableFieldId="12" dataDxfId="232" totalsRowDxfId="231"/>
    <tableColumn id="13" xr3:uid="{04F2402D-62D5-4A1D-96B1-681E01E2DFEA}" uniqueName="13" name="Acrobatisch junioren" totalsRowFunction="count" queryTableFieldId="13" dataDxfId="230" totalsRowDxfId="229"/>
    <tableColumn id="14" xr3:uid="{B577E129-427F-4CFB-B068-049EF4DE88AA}" uniqueName="14" name="Acrobatisch aspiranten" totalsRowFunction="count" queryTableFieldId="14" dataDxfId="228" totalsRowDxfId="227"/>
    <tableColumn id="15" xr3:uid="{40902506-8CD4-4DCB-99D7-1B06FAF7730E}" uniqueName="15" name="Show senioren" queryTableFieldId="15" dataDxfId="226" totalsRowDxfId="225"/>
    <tableColumn id="16" xr3:uid="{21333790-5ACD-4D58-A41B-95FAEC1B8A0E}" uniqueName="16" name="Show junioren" queryTableFieldId="16" dataDxfId="224" totalsRowDxfId="223"/>
    <tableColumn id="17" xr3:uid="{899CA3AD-01FC-4667-991A-EAC096428C13}" uniqueName="17" name="Show aspiranten" queryTableFieldId="17" dataDxfId="222" totalsRowDxfId="221"/>
    <tableColumn id="18" xr3:uid="{3F07E718-944B-45A3-A734-ABE5359A2AEF}" uniqueName="18" name="Senioren indiv." totalsRowFunction="sum" queryTableFieldId="18" dataDxfId="220" totalsRowDxfId="219"/>
    <tableColumn id="19" xr3:uid="{9D93CF78-FCC8-4A56-B8C4-84EB08B038D5}" uniqueName="19" name="Junioren indiv." totalsRowFunction="sum" queryTableFieldId="19" dataDxfId="218" totalsRowDxfId="217"/>
    <tableColumn id="20" xr3:uid="{E715C39E-E43E-4748-BF18-4CF54EDCB640}" uniqueName="20" name="Aspiranten indiv." totalsRowFunction="sum" queryTableFieldId="20" dataDxfId="216" totalsRowDxfId="215"/>
    <tableColumn id="21" xr3:uid="{AFECDED6-B2B5-4C11-9125-057CBA088D19}" uniqueName="21" name="Sen. ind opgegeven namen" totalsRowFunction="sum" queryTableFieldId="21" dataDxfId="214" totalsRowDxfId="213"/>
    <tableColumn id="22" xr3:uid="{72800143-0F64-4DE9-B866-EC2A09B6CB7C}" uniqueName="22" name="Jun. ind opgegeven namen" totalsRowFunction="sum" queryTableFieldId="22" dataDxfId="212" totalsRowDxfId="211"/>
    <tableColumn id="23" xr3:uid="{8D305989-27B8-4B01-8E74-8E944F746FA7}" uniqueName="23" name="Asp. ind opgegeven namen" totalsRowFunction="sum" queryTableFieldId="23" dataDxfId="210" totalsRowDxfId="209"/>
    <tableColumn id="24" xr3:uid="{12EA3F67-7A37-49EE-B7CD-CE094D8154B6}" uniqueName="24" name="Hoofdkorps" totalsRowFunction="custom" queryTableFieldId="24" dataDxfId="208" totalsRowDxfId="207">
      <totalsRowFormula>COUNTIF(FSD[Hoofdkorps],"x")</totalsRowFormula>
    </tableColumn>
    <tableColumn id="25" xr3:uid="{FA573B34-245C-47F3-81F2-0F464CA67CEA}" uniqueName="25" name="2e korps" totalsRowFunction="custom" queryTableFieldId="25" dataDxfId="206" totalsRowDxfId="205">
      <totalsRowFormula>COUNTIF(FSD[2e korps],"x")</totalsRowFormula>
    </tableColumn>
    <tableColumn id="31" xr3:uid="{C6B6683E-5C96-41A9-B01B-566544560117}" uniqueName="31" name="Groepen, teams, ensembles en duo's" totalsRowFunction="sum" queryTableFieldId="74" totalsRowDxfId="204"/>
    <tableColumn id="27" xr3:uid="{E6390A79-1F93-4025-9782-192BF3044E75}" uniqueName="27" name="Senioren" totalsRowFunction="sum" queryTableFieldId="27" dataDxfId="203" totalsRowDxfId="202"/>
    <tableColumn id="32" xr3:uid="{47F07FDD-ACC0-47B9-B47E-BE6237E27AC1}" uniqueName="32" name="Jong volwassene" totalsRowFunction="sum" queryTableFieldId="75" totalsRowDxfId="201"/>
    <tableColumn id="28" xr3:uid="{95FC90F7-6D74-41B8-BE65-1833DDE14332}" uniqueName="28" name="Junioren" totalsRowFunction="sum" queryTableFieldId="28" dataDxfId="200" totalsRowDxfId="199"/>
    <tableColumn id="29" xr3:uid="{5360D20E-C4EF-427A-B9FC-486AFA38F7BE}" uniqueName="29" name="Aspiranten" totalsRowFunction="sum" queryTableFieldId="29" dataDxfId="198" totalsRowDxfId="197"/>
    <tableColumn id="35" xr3:uid="{6EA4EA09-F769-4C5C-B075-37634BC565EA}" uniqueName="35" name="Opgegeven senioren" totalsRowFunction="sum" queryTableFieldId="76" totalsRowDxfId="196"/>
    <tableColumn id="37" xr3:uid="{2F4AE8EB-4AC3-462E-AB76-EF60F2C3EBF3}" uniqueName="37" name="Opgegeven jong volwassene" totalsRowFunction="sum" queryTableFieldId="77" totalsRowDxfId="195"/>
    <tableColumn id="39" xr3:uid="{B489B175-B462-41B5-9F40-3A706D5B579C}" uniqueName="39" name="Opgegeven junioren" totalsRowFunction="sum" queryTableFieldId="78" totalsRowDxfId="194"/>
    <tableColumn id="41" xr3:uid="{F22B8BD7-4BC7-47C5-9EFB-A26B25F5DF8B}" uniqueName="41" name="Opgegeven aspiranten" totalsRowFunction="sum" queryTableFieldId="79" totalsRowDxfId="193"/>
    <tableColumn id="33" xr3:uid="{57A237AB-A441-4825-8F6B-31D522535C94}" uniqueName="33" name="Marketentsters" totalsRowFunction="custom" queryTableFieldId="33" dataDxfId="192" totalsRowDxfId="191">
      <totalsRowFormula>COUNTIF(FSD[Marketentsters],"x")</totalsRowFormula>
    </tableColumn>
    <tableColumn id="34" xr3:uid="{CFF4B901-4816-4499-B8C8-FBB5CC26234D}" uniqueName="34" name="Luchtgeweer" totalsRowFunction="custom" queryTableFieldId="34" dataDxfId="190" totalsRowDxfId="189">
      <totalsRowFormula>COUNTIF(FSD[Luchtgeweer],"x")</totalsRowFormula>
    </tableColumn>
    <tableColumn id="42" xr3:uid="{FEA14974-141D-4214-9AD9-CDA825A0E3E5}" uniqueName="42" name="Aantal luchtgeweerschutters" totalsRowFunction="sum" queryTableFieldId="80" dataDxfId="188" totalsRowDxfId="187"/>
    <tableColumn id="36" xr3:uid="{69DE0837-B493-4676-93AE-802895BBB46E}" uniqueName="36" name="Luchtpistool" totalsRowFunction="custom" queryTableFieldId="36" dataDxfId="186" totalsRowDxfId="185">
      <totalsRowFormula>COUNTIF(FSD[Luchtpistool],"x")</totalsRowFormula>
    </tableColumn>
    <tableColumn id="43" xr3:uid="{128AC803-FF09-4C99-9BFD-05E8090ADB1F}" uniqueName="43" name="Aantal luchtpistoolschutters" totalsRowFunction="sum" queryTableFieldId="81" dataDxfId="184" totalsRowDxfId="183"/>
    <tableColumn id="40" xr3:uid="{1DEABBF7-2D57-432C-8D04-ED7529478AA1}" uniqueName="40" name="Handboog" totalsRowFunction="custom" queryTableFieldId="40" dataDxfId="182" totalsRowDxfId="181">
      <totalsRowFormula>COUNTIF(FSD[Handboog],"x")</totalsRowFormula>
    </tableColumn>
    <tableColumn id="44" xr3:uid="{761688DF-91FF-486E-BDCE-FF3E5AA8ACCE}" uniqueName="44" name="Aantal handboogschutters" totalsRowFunction="sum" queryTableFieldId="82" dataDxfId="180" totalsRowDxfId="179"/>
    <tableColumn id="38" xr3:uid="{7D5EF677-5F60-4277-AC20-0845BAEE465E}" uniqueName="38" name="Kruisboog" totalsRowFunction="custom" queryTableFieldId="38" dataDxfId="178" totalsRowDxfId="177">
      <totalsRowFormula>COUNTIF(FSD[Kruisboog],"x")</totalsRowFormula>
    </tableColumn>
    <tableColumn id="71" xr3:uid="{2C9358B9-7475-489E-9694-B3B4C97B0B32}" uniqueName="71" name="Aantal kruisboogschutters" totalsRowFunction="sum" queryTableFieldId="83" dataDxfId="176" totalsRowDxfId="175"/>
    <tableColumn id="72" xr3:uid="{A07D6C10-E787-427D-A2EC-DBBD57EC75FA}" uniqueName="72" name="Luchtgeweer jeugd niet ouder dan 17 jaar." totalsRowFunction="custom" queryTableFieldId="84" dataDxfId="174" totalsRowDxfId="173">
      <totalsRowFormula>COUNTIF(FSD[Luchtgeweer jeugd niet ouder dan 17 jaar.],"x")</totalsRowFormula>
    </tableColumn>
    <tableColumn id="73" xr3:uid="{0EB729CA-DC52-4DAF-81A1-F4CA9E39AC96}" uniqueName="73" name="Aantal korpsen" totalsRowFunction="sum" queryTableFieldId="85" totalsRowDxfId="172"/>
    <tableColumn id="74" xr3:uid="{4B828B0D-4DEA-4EB7-9E8D-62006A9F546F}" uniqueName="74" name="Opgegeven jeugdkorpsen LG" totalsRowFunction="sum" queryTableFieldId="86" totalsRowDxfId="171"/>
    <tableColumn id="45" xr3:uid="{3DDEB7CD-1ACF-477A-850B-DC26C9544089}" uniqueName="45" name="Totaal aantal deelnemers" totalsRowFunction="sum" queryTableFieldId="45" dataDxfId="170" totalsRowDxfId="169"/>
    <tableColumn id="46" xr3:uid="{03BCDF0D-E655-4FDC-9FDF-714C72EF21E0}" uniqueName="46" name="Waarvan aantal jeugd (t/m 15 jaar)" totalsRowFunction="sum" queryTableFieldId="46" dataDxfId="168" totalsRowDxfId="167"/>
    <tableColumn id="47" xr3:uid="{1848C3AC-DA5D-414D-86CC-5716528A6449}" uniqueName="47" name="Kanon etc." totalsRowFunction="custom" queryTableFieldId="47" dataDxfId="166" totalsRowDxfId="165">
      <totalsRowFormula>COUNTIF(FSD[Kanon etc.],"x")</totalsRowFormula>
    </tableColumn>
    <tableColumn id="48" xr3:uid="{9536F103-194A-4528-8CF5-42BD315ACC0E}" uniqueName="48" name="Paarden en/of koetsen" totalsRowFunction="custom" queryTableFieldId="48" dataDxfId="164" totalsRowDxfId="163">
      <totalsRowFormula>COUNTIF(FSD[Paarden en/of koetsen],"x")</totalsRowFormula>
    </tableColumn>
    <tableColumn id="49" xr3:uid="{D69853E1-38FA-4FFD-BCDE-760AAEFA4E6D}" uniqueName="49" name="Toelichting/opmerkingen" queryTableFieldId="49" dataDxfId="162" totalsRowDxfId="161"/>
    <tableColumn id="50" xr3:uid="{2D4D71CB-4C44-4624-B6A1-CA83504691E4}" uniqueName="50" name="Inzending-ID" queryTableFieldId="50" dataDxfId="160" totalsRowDxfId="159"/>
    <tableColumn id="51" xr3:uid="{F8FC0A29-19D2-441E-ABBC-6C9448E2F8E5}" uniqueName="51" name="Inzenddatum" queryTableFieldId="51" dataDxfId="158" totalsRowDxfId="157"/>
    <tableColumn id="75" xr3:uid="{DF430BCF-06A0-4909-886A-ED7C3675C9B4}" uniqueName="75" name="Date Updated" queryTableFieldId="87" dataDxfId="156" totalsRowDxfId="155"/>
    <tableColumn id="52" xr3:uid="{A17B95BB-AE23-4602-86E4-E4B69AC172FE}" uniqueName="52" name="Naam van het hoofdkorps" queryTableFieldId="52" dataDxfId="154" totalsRowDxfId="153"/>
    <tableColumn id="53" xr3:uid="{E2FBE64E-F279-4D1C-A0C3-67A6E2083C70}" uniqueName="53" name="Zal op treden als (hoofdkorps)" queryTableFieldId="53" dataDxfId="152" totalsRowDxfId="151"/>
    <tableColumn id="54" xr3:uid="{7E0FF81D-4AE6-429F-A3B8-FDB29CD17EAD}" uniqueName="54" name="Vorm van twee muziekwerken (hoofdkorps)" queryTableFieldId="54" dataDxfId="150" totalsRowDxfId="149"/>
    <tableColumn id="55" xr3:uid="{DDAF515F-C3A4-46D2-9641-5618C7145E94}" uniqueName="55" name="Zal uitkomen in de: (hoofdkorps)" queryTableFieldId="55" dataDxfId="148" totalsRowDxfId="147"/>
    <tableColumn id="56" xr3:uid="{9B712097-685D-41FF-BDCD-B39B0DAEDE68}" uniqueName="56" name="Muziekwerk1 (hoofdkorps)" queryTableFieldId="56" dataDxfId="146" totalsRowDxfId="145"/>
    <tableColumn id="57" xr3:uid="{DCE8685F-7B4B-40B8-B019-8DFBBE97A1A7}" uniqueName="57" name="Muziekwerk2 (hoofdkorps)" queryTableFieldId="57" dataDxfId="144" totalsRowDxfId="143"/>
    <tableColumn id="58" xr3:uid="{E2D403CC-64F0-40C2-BC6C-3633185356EF}" uniqueName="58" name="Korps bestaat uit ... deelnemers (hoofdkorps)" queryTableFieldId="58" dataDxfId="142" totalsRowDxfId="141"/>
    <tableColumn id="59" xr3:uid="{F2BAB700-D010-4DF5-ABBB-8C0B80B9CF18}" uniqueName="59" name="Naam van het 2e korps" queryTableFieldId="59" dataDxfId="140" totalsRowDxfId="139"/>
    <tableColumn id="60" xr3:uid="{33D15A13-08B7-4A86-80A6-20EA64C6E2A5}" uniqueName="60" name="Zal op treden als (2e korps)" queryTableFieldId="60" dataDxfId="138" totalsRowDxfId="137"/>
    <tableColumn id="61" xr3:uid="{FD5B2EDA-25E5-4AC8-973D-FA2C249175E8}" uniqueName="61" name="Vorm van twee muziekwerken (2e korps)" queryTableFieldId="61" dataDxfId="136" totalsRowDxfId="135"/>
    <tableColumn id="62" xr3:uid="{62B0C79A-C44C-44F0-8B47-55CA4F4FBFFB}" uniqueName="62" name="Zal uitkomen in de: (2e korps)" queryTableFieldId="62" dataDxfId="134" totalsRowDxfId="133"/>
    <tableColumn id="63" xr3:uid="{D1B9CF45-CE19-4F97-8A84-8EC77B278A3D}" uniqueName="63" name="Muziekwerk1 (2e korps)" queryTableFieldId="63" dataDxfId="132" totalsRowDxfId="131"/>
    <tableColumn id="64" xr3:uid="{12EEBE20-D33A-4624-AAB1-9C626FD7E923}" uniqueName="64" name="Muziekwerk2 (2e korps)" queryTableFieldId="64" dataDxfId="130" totalsRowDxfId="129"/>
    <tableColumn id="65" xr3:uid="{04BCB239-F2BF-43F7-8769-8C4596666DC7}" uniqueName="65" name="Korps bestaat uit ... deelnemers (2e korps)" queryTableFieldId="65" dataDxfId="128" totalsRowDxfId="127"/>
    <tableColumn id="69" xr3:uid="{48685445-1CE2-4641-9D83-AE4933D7CA2D}" uniqueName="69" name="Mechanische muziek" queryTableFieldId="69" dataDxfId="126" totalsRowDxfId="125"/>
    <tableColumn id="66" xr3:uid="{CA4F0955-5464-46EE-BEA9-38CE7800D2EC}" uniqueName="66" name="Onderdelen" queryTableFieldId="66" dataDxfId="124" totalsRowDxfId="123"/>
    <tableColumn id="67" xr3:uid="{3F1F53B8-F781-401E-82C8-90031468BF1B}" uniqueName="67" name="Secties" queryTableFieldId="67" dataDxfId="122" totalsRowDxfId="121"/>
    <tableColumn id="68" xr3:uid="{D58A6DB8-6A15-4F87-AC46-684B07791844}" uniqueName="68" name="Leeftijdscategorie" queryTableFieldId="68" dataDxfId="120" totalsRowDxfId="119"/>
    <tableColumn id="70" xr3:uid="{306F10D5-06E3-4B62-BCA3-911F4788FCB0}" uniqueName="70" name="Aantal opgegeven majorettes" totalsRowFunction="sum" queryTableFieldId="70" dataDxfId="118" totalsRowDxfId="117"/>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80D1A4A-A185-49B3-AA23-9EC8A2F0ED97}" name="GKVI" displayName="GKVI" ref="A6:W39" tableType="queryTable" totalsRowCount="1" headerRowDxfId="116">
  <autoFilter ref="A6:W38" xr:uid="{580D1A4A-A185-49B3-AA23-9EC8A2F0ED97}"/>
  <tableColumns count="23">
    <tableColumn id="2" xr3:uid="{40F56B9E-0D9C-4F2A-B8F1-34C3B3D7E994}" uniqueName="2" name="Inzending-ID" totalsRowLabel="Totaal" queryTableFieldId="29" dataDxfId="115"/>
    <tableColumn id="20" xr3:uid="{1DF80CEA-9B28-4579-A6A0-97308306E1C1}" uniqueName="20" name="Inzenddatum" queryTableFieldId="20" dataDxfId="114" totalsRowDxfId="113" dataCellStyle="Standaard 2"/>
    <tableColumn id="1" xr3:uid="{110A6271-7C80-4137-949B-E6DB2359986B}" uniqueName="1" name="GKVI" totalsRowFunction="count" queryTableFieldId="1" dataDxfId="112" totalsRowDxfId="111" dataCellStyle="Standaard 2"/>
    <tableColumn id="21" xr3:uid="{7802E2CF-F085-4C93-AD5C-D56F8AD610F8}" uniqueName="21" name="Ver.nr." queryTableFieldId="21" dataDxfId="110" totalsRowDxfId="109" dataCellStyle="Standaard 2"/>
    <tableColumn id="3" xr3:uid="{1860F804-C753-411A-9507-66D95E27BCD9}" uniqueName="3" name="Naam vereniging" queryTableFieldId="3" dataDxfId="108" totalsRowDxfId="107" dataCellStyle="Standaard 2"/>
    <tableColumn id="4" xr3:uid="{626EFE54-511D-4543-A27C-AC16A212F88E}" uniqueName="4" name="Korps klassiek senioren" totalsRowFunction="sum" queryTableFieldId="4" dataDxfId="106" totalsRowDxfId="105" dataCellStyle="Standaard 2"/>
    <tableColumn id="5" xr3:uid="{2C978935-C142-461D-9CAB-86BEDCACC1B6}" uniqueName="5" name="Korps 1 klassiek junioren" totalsRowFunction="sum" queryTableFieldId="35" dataDxfId="104" totalsRowDxfId="103" dataCellStyle="Standaard 2"/>
    <tableColumn id="6" xr3:uid="{32EB3BA3-0096-4E9C-82A9-0539D4EFE7C1}" uniqueName="6" name="Korps 2 klassiek junioren" totalsRowFunction="sum" queryTableFieldId="36" dataDxfId="102" totalsRowDxfId="101" dataCellStyle="Standaard 2"/>
    <tableColumn id="13" xr3:uid="{133B5693-EBB2-4DBA-A79B-067BCBBE2CE9}" uniqueName="13" name="Korps 1 klassiek aspiranten" totalsRowFunction="sum" queryTableFieldId="37" dataDxfId="100" totalsRowDxfId="99" dataCellStyle="Standaard 2"/>
    <tableColumn id="14" xr3:uid="{84B8959F-E520-4D80-BCD2-391D4D054680}" uniqueName="14" name="Korps 2 klassiek aspiranten" totalsRowFunction="sum" queryTableFieldId="38" dataDxfId="98" totalsRowDxfId="97" dataCellStyle="Standaard 2"/>
    <tableColumn id="7" xr3:uid="{D5298E7B-EDFA-41D8-87A2-617880C953B1}" uniqueName="7" name="Korps acrob. senioren" totalsRowFunction="sum" queryTableFieldId="7" dataDxfId="96" totalsRowDxfId="95" dataCellStyle="Standaard 2"/>
    <tableColumn id="8" xr3:uid="{D76DE73F-3A17-4720-BD3C-6D9627BA63D8}" uniqueName="8" name="Korps acrob. junioren" totalsRowFunction="sum" queryTableFieldId="8" dataDxfId="94" totalsRowDxfId="93" dataCellStyle="Standaard 2"/>
    <tableColumn id="9" xr3:uid="{F258AC41-9244-4703-868E-5F889D3C5505}" uniqueName="9" name="Korps acrob. aspiranten" totalsRowFunction="sum" queryTableFieldId="9" dataDxfId="92" totalsRowDxfId="91" dataCellStyle="Standaard 2"/>
    <tableColumn id="10" xr3:uid="{B2EFF584-BB62-458C-BEF7-6EA9FEA68AD4}" uniqueName="10" name="Korps show senioren" queryTableFieldId="10" dataDxfId="90" totalsRowDxfId="89" dataCellStyle="Standaard 2"/>
    <tableColumn id="11" xr3:uid="{E0FD80DD-A6C5-4CED-85D7-8B6A8E1C26D5}" uniqueName="11" name="Korps show junioren" totalsRowFunction="sum" queryTableFieldId="11" dataDxfId="88" totalsRowDxfId="87" dataCellStyle="Standaard 2"/>
    <tableColumn id="12" xr3:uid="{21F32278-BFBE-440E-AC5C-EAAB07CB64C3}" uniqueName="12" name="Korps show aspiranten" totalsRowFunction="sum" queryTableFieldId="12" dataDxfId="86" totalsRowDxfId="85" dataCellStyle="Standaard 2"/>
    <tableColumn id="22" xr3:uid="{0A53BF77-163C-445B-8BBF-383AC79C51B5}" uniqueName="22" name="Senioren" totalsRowFunction="sum" queryTableFieldId="23" dataDxfId="84" totalsRowDxfId="83" dataCellStyle="Standaard 2"/>
    <tableColumn id="23" xr3:uid="{F94B7E91-70F1-4FC0-8251-010921163934}" uniqueName="23" name="Junioren" totalsRowFunction="sum" queryTableFieldId="24" dataDxfId="82" totalsRowDxfId="81" dataCellStyle="Standaard 2"/>
    <tableColumn id="24" xr3:uid="{706CCAB4-C1B4-401B-B21B-6C5924F7A454}" uniqueName="24" name="Aspiranten" totalsRowFunction="sum" queryTableFieldId="25" dataDxfId="80" totalsRowDxfId="79" dataCellStyle="Standaard 2"/>
    <tableColumn id="17" xr3:uid="{B21C9857-A84D-4F88-9DEF-3CA88FC3CFE7}" uniqueName="17" name="Aantal deelnemers" totalsRowFunction="sum" queryTableFieldId="17" dataDxfId="78" totalsRowDxfId="77" dataCellStyle="Standaard 2"/>
    <tableColumn id="18" xr3:uid="{BF6C55CC-07B8-451D-9CB3-A16BF13790B6}" uniqueName="18" name="Hiervan is aspirant" totalsRowFunction="sum" queryTableFieldId="18" dataDxfId="76" totalsRowDxfId="75" dataCellStyle="Standaard 2"/>
    <tableColumn id="16" xr3:uid="{02E6C8C2-0C56-4DF9-8655-CA81BDE25E64}" uniqueName="16" name="Opmerkingen" queryTableFieldId="16" dataDxfId="74" totalsRowDxfId="73" dataCellStyle="Standaard 2"/>
    <tableColumn id="15" xr3:uid="{E8FF6363-88A2-4F78-B4E7-1746482BEFDB}" uniqueName="15" name="Date Updated" queryTableFieldId="39" dataDxfId="72" dataCellStyle="Standaard 2"/>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DB9436B-5FFD-49AE-9ACB-2367BAA201D1}" name="Bielemantreffen_2" displayName="Bielemantreffen_2" ref="A5:K26" tableType="queryTable" totalsRowCount="1" headerRowDxfId="71">
  <autoFilter ref="A5:K25" xr:uid="{5DB9436B-5FFD-49AE-9ACB-2367BAA201D1}"/>
  <tableColumns count="11">
    <tableColumn id="3" xr3:uid="{5B3EE3F4-6AB4-4B63-B0B2-2C26C5F5B8B0}" uniqueName="3" name="BIEL" totalsRowLabel="Totaal" queryTableFieldId="3" dataDxfId="70" totalsRowDxfId="69"/>
    <tableColumn id="4" xr3:uid="{D2C17856-F0DB-4145-A428-42E1EBC056B4}" uniqueName="4" name="Ver.nr." queryTableFieldId="4" dataDxfId="68" totalsRowDxfId="67"/>
    <tableColumn id="5" xr3:uid="{638102D6-3D21-446C-9D8E-AF61BE00142F}" uniqueName="5" name="Naam vereniging" totalsRowFunction="count" queryTableFieldId="5" dataDxfId="66" totalsRowDxfId="65"/>
    <tableColumn id="6" xr3:uid="{E7CB2C54-ADFB-4FC6-9823-F9768057F974}" uniqueName="6" name="Senioren" totalsRowFunction="sum" queryTableFieldId="6" dataDxfId="64" totalsRowDxfId="63"/>
    <tableColumn id="72" xr3:uid="{11C6C24B-6F22-4B1C-BAE6-59C482B388B2}" uniqueName="72" name="Jong volwassene" totalsRowFunction="sum" queryTableFieldId="84" dataDxfId="62" totalsRowDxfId="61"/>
    <tableColumn id="7" xr3:uid="{19847D58-FE70-4311-93D8-514131D5B68A}" uniqueName="7" name="Junioren" totalsRowFunction="sum" queryTableFieldId="7" dataDxfId="60" totalsRowDxfId="59"/>
    <tableColumn id="8" xr3:uid="{CC6817C6-19FE-4F2A-8D25-3CCC027A9097}" uniqueName="8" name="Aspiranten" totalsRowFunction="sum" queryTableFieldId="8" dataDxfId="58" totalsRowDxfId="57"/>
    <tableColumn id="9" xr3:uid="{85B7013C-1632-47F7-8940-DB6F8462668C}" uniqueName="9" name="Opmerkingen/toelichting" queryTableFieldId="9" dataDxfId="56" totalsRowDxfId="55"/>
    <tableColumn id="1" xr3:uid="{BE6FFDA5-A18B-48C5-8896-2AF02E49029B}" uniqueName="1" name="Inzending-ID" queryTableFieldId="1" dataDxfId="54" totalsRowDxfId="53"/>
    <tableColumn id="2" xr3:uid="{EE2A5C99-9FF5-434A-8A91-052622DCB816}" uniqueName="2" name="Inzenddatum" queryTableFieldId="2" dataDxfId="52" totalsRowDxfId="51"/>
    <tableColumn id="10" xr3:uid="{9C4AF465-3B66-400C-9BE5-32A2532DF57D}" uniqueName="10" name="Date Updated" queryTableFieldId="87" dataDxfId="50"/>
  </tableColumns>
  <tableStyleInfo name="TableStyleMedium7"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D7BAB-3485-4E29-90D6-492F584E3FD6}">
  <dimension ref="A1:CE118"/>
  <sheetViews>
    <sheetView tabSelected="1" zoomScaleNormal="100" workbookViewId="0">
      <pane xSplit="3" ySplit="6" topLeftCell="D73" activePane="bottomRight" state="frozen"/>
      <selection pane="topRight" activeCell="D1" sqref="D1"/>
      <selection pane="bottomLeft" activeCell="A7" sqref="A7"/>
      <selection pane="bottomRight" activeCell="Q1" sqref="Q1:S1048576"/>
    </sheetView>
  </sheetViews>
  <sheetFormatPr baseColWidth="10" defaultColWidth="8.83203125" defaultRowHeight="15" x14ac:dyDescent="0.2"/>
  <cols>
    <col min="1" max="1" width="11.5" bestFit="1" customWidth="1"/>
    <col min="2" max="2" width="8.6640625" bestFit="1" customWidth="1"/>
    <col min="3" max="3" width="58.83203125" bestFit="1" customWidth="1"/>
    <col min="4" max="4" width="3.5" bestFit="1" customWidth="1"/>
    <col min="5" max="14" width="8.5" bestFit="1" customWidth="1"/>
    <col min="15" max="16" width="8.33203125" customWidth="1"/>
    <col min="17" max="17" width="8.33203125" hidden="1" customWidth="1"/>
    <col min="18" max="19" width="8.5" style="71" hidden="1" customWidth="1"/>
    <col min="20" max="43" width="8.5" bestFit="1" customWidth="1"/>
    <col min="44" max="44" width="8.5" style="61" bestFit="1" customWidth="1"/>
    <col min="45" max="52" width="8.5" bestFit="1" customWidth="1"/>
    <col min="53" max="53" width="23.6640625" style="70" bestFit="1" customWidth="1"/>
    <col min="54" max="54" width="15.83203125" bestFit="1" customWidth="1"/>
    <col min="55" max="56" width="15" bestFit="1" customWidth="1"/>
    <col min="57" max="57" width="40.6640625" bestFit="1" customWidth="1"/>
    <col min="58" max="58" width="23.83203125" bestFit="1" customWidth="1"/>
    <col min="59" max="59" width="30.6640625" bestFit="1" customWidth="1"/>
    <col min="60" max="60" width="30.5" bestFit="1" customWidth="1"/>
    <col min="61" max="61" width="21.83203125" bestFit="1" customWidth="1"/>
    <col min="62" max="62" width="25.1640625" bestFit="1" customWidth="1"/>
    <col min="63" max="71" width="8.5" bestFit="1" customWidth="1"/>
    <col min="72" max="72" width="45.5" bestFit="1" customWidth="1"/>
    <col min="73" max="73" width="52.6640625" bestFit="1" customWidth="1"/>
    <col min="74" max="74" width="45.33203125" bestFit="1" customWidth="1"/>
    <col min="75" max="75" width="8.5" bestFit="1" customWidth="1"/>
    <col min="76" max="76" width="10.6640625" bestFit="1" customWidth="1"/>
    <col min="77" max="77" width="7.5" bestFit="1" customWidth="1"/>
    <col min="78" max="78" width="15.5" bestFit="1" customWidth="1"/>
    <col min="79" max="79" width="17" bestFit="1" customWidth="1"/>
    <col min="80" max="80" width="15.6640625" style="1" bestFit="1" customWidth="1"/>
    <col min="81" max="81" width="21.33203125" style="1" bestFit="1" customWidth="1"/>
    <col min="82" max="83" width="9.33203125" bestFit="1" customWidth="1"/>
  </cols>
  <sheetData>
    <row r="1" spans="1:83" x14ac:dyDescent="0.2">
      <c r="AI1" t="s">
        <v>0</v>
      </c>
      <c r="AL1" s="2"/>
      <c r="AM1" s="2"/>
      <c r="AS1" s="1"/>
      <c r="AT1" s="1"/>
      <c r="CB1" s="33"/>
      <c r="CC1" s="33"/>
      <c r="CD1" s="33"/>
      <c r="CE1" s="33"/>
    </row>
    <row r="2" spans="1:83" ht="16" thickBot="1" x14ac:dyDescent="0.25">
      <c r="AL2" s="2"/>
      <c r="AM2" s="2"/>
      <c r="AS2" s="1"/>
      <c r="AT2" s="1"/>
      <c r="CB2" s="33"/>
      <c r="CC2" s="33"/>
      <c r="CD2" s="33"/>
      <c r="CE2" s="33"/>
    </row>
    <row r="3" spans="1:83" ht="16" thickBot="1" x14ac:dyDescent="0.25">
      <c r="A3" s="20"/>
      <c r="B3" s="21"/>
      <c r="C3" s="22"/>
      <c r="D3" s="139" t="s">
        <v>1</v>
      </c>
      <c r="E3" s="140"/>
      <c r="F3" s="140"/>
      <c r="G3" s="140"/>
      <c r="H3" s="141"/>
      <c r="I3" s="142" t="s">
        <v>2</v>
      </c>
      <c r="J3" s="143"/>
      <c r="K3" s="143"/>
      <c r="L3" s="143"/>
      <c r="M3" s="143"/>
      <c r="N3" s="143"/>
      <c r="O3" s="143"/>
      <c r="P3" s="143"/>
      <c r="Q3" s="143"/>
      <c r="R3" s="143"/>
      <c r="S3" s="143"/>
      <c r="T3" s="143"/>
      <c r="U3" s="143"/>
      <c r="V3" s="143"/>
      <c r="W3" s="143"/>
      <c r="X3" s="143"/>
      <c r="Y3" s="144"/>
      <c r="Z3" s="139" t="s">
        <v>3</v>
      </c>
      <c r="AA3" s="141"/>
      <c r="AB3" s="26" t="s">
        <v>4</v>
      </c>
      <c r="AC3" s="93" t="s">
        <v>5</v>
      </c>
      <c r="AD3" s="94"/>
      <c r="AE3" s="94"/>
      <c r="AF3" s="94"/>
      <c r="AG3" s="94"/>
      <c r="AH3" s="94"/>
      <c r="AI3" s="94"/>
      <c r="AJ3" s="95"/>
      <c r="AK3" s="26" t="s">
        <v>6</v>
      </c>
      <c r="AL3" s="139" t="s">
        <v>7</v>
      </c>
      <c r="AM3" s="140"/>
      <c r="AN3" s="140"/>
      <c r="AO3" s="140"/>
      <c r="AP3" s="140"/>
      <c r="AQ3" s="140"/>
      <c r="AR3" s="140"/>
      <c r="AS3" s="140"/>
      <c r="AT3" s="140"/>
      <c r="AU3" s="140"/>
      <c r="AV3" s="141"/>
      <c r="AW3" s="139" t="s">
        <v>8</v>
      </c>
      <c r="AX3" s="140"/>
      <c r="AY3" s="140"/>
      <c r="AZ3" s="140"/>
      <c r="BA3" s="140"/>
      <c r="BB3" s="140"/>
      <c r="BC3" s="140"/>
      <c r="BD3" s="141"/>
      <c r="BE3" s="142" t="s">
        <v>9</v>
      </c>
      <c r="BF3" s="143"/>
      <c r="BG3" s="143"/>
      <c r="BH3" s="143"/>
      <c r="BI3" s="143"/>
      <c r="BJ3" s="143"/>
      <c r="BK3" s="143"/>
      <c r="BL3" s="143"/>
      <c r="BM3" s="143"/>
      <c r="BN3" s="143"/>
      <c r="BO3" s="143"/>
      <c r="BP3" s="143"/>
      <c r="BQ3" s="143"/>
      <c r="BR3" s="143"/>
      <c r="BS3" s="145" t="s">
        <v>10</v>
      </c>
      <c r="BT3" s="146"/>
      <c r="BU3" s="146"/>
      <c r="BV3" s="146"/>
      <c r="BW3" s="147"/>
      <c r="BX3" s="137"/>
      <c r="BY3" s="137"/>
      <c r="BZ3" s="137"/>
      <c r="CA3" s="137"/>
      <c r="CB3"/>
      <c r="CC3"/>
    </row>
    <row r="4" spans="1:83" ht="16" thickBot="1" x14ac:dyDescent="0.25">
      <c r="A4" s="23"/>
      <c r="B4" s="24"/>
      <c r="C4" s="25"/>
      <c r="D4" s="23"/>
      <c r="E4" s="24"/>
      <c r="F4" s="24"/>
      <c r="G4" s="24"/>
      <c r="H4" s="25"/>
      <c r="I4" s="86" t="s">
        <v>11</v>
      </c>
      <c r="J4" s="87"/>
      <c r="K4" s="87"/>
      <c r="L4" s="87"/>
      <c r="M4" s="88"/>
      <c r="N4" s="142" t="s">
        <v>88</v>
      </c>
      <c r="O4" s="143"/>
      <c r="P4" s="144"/>
      <c r="Q4" s="142" t="s">
        <v>13</v>
      </c>
      <c r="R4" s="143"/>
      <c r="S4" s="144"/>
      <c r="T4" s="142" t="s">
        <v>14</v>
      </c>
      <c r="U4" s="143"/>
      <c r="V4" s="143"/>
      <c r="W4" s="143"/>
      <c r="X4" s="143"/>
      <c r="Y4" s="144"/>
      <c r="Z4" s="23"/>
      <c r="AA4" s="25"/>
      <c r="AB4" s="27"/>
      <c r="AC4" s="23"/>
      <c r="AD4" s="24"/>
      <c r="AE4" s="24"/>
      <c r="AF4" s="24"/>
      <c r="AG4" s="24"/>
      <c r="AH4" s="24"/>
      <c r="AI4" s="24"/>
      <c r="AJ4" s="25"/>
      <c r="AK4" s="27"/>
      <c r="AL4" s="23"/>
      <c r="AM4" s="24"/>
      <c r="AN4" s="24"/>
      <c r="AO4" s="24"/>
      <c r="AP4" s="24"/>
      <c r="AQ4" s="24"/>
      <c r="AR4" s="24"/>
      <c r="AS4" s="24"/>
      <c r="AT4" s="24"/>
      <c r="AU4" s="24"/>
      <c r="AV4" s="25"/>
      <c r="AW4" s="23"/>
      <c r="AX4" s="24"/>
      <c r="AY4" s="24"/>
      <c r="AZ4" s="24"/>
      <c r="BA4" s="106"/>
      <c r="BB4" s="24"/>
      <c r="BC4" s="24"/>
      <c r="BD4" s="25"/>
      <c r="BE4" s="142" t="s">
        <v>15</v>
      </c>
      <c r="BF4" s="143"/>
      <c r="BG4" s="143"/>
      <c r="BH4" s="143"/>
      <c r="BI4" s="143"/>
      <c r="BJ4" s="143"/>
      <c r="BK4" s="144"/>
      <c r="BL4" s="142" t="s">
        <v>16</v>
      </c>
      <c r="BM4" s="143"/>
      <c r="BN4" s="143"/>
      <c r="BO4" s="143"/>
      <c r="BP4" s="143"/>
      <c r="BQ4" s="143"/>
      <c r="BR4" s="144"/>
      <c r="BS4" s="142"/>
      <c r="BT4" s="143"/>
      <c r="BU4" s="143"/>
      <c r="BV4" s="143"/>
      <c r="BW4" s="144"/>
      <c r="BX4" s="138"/>
      <c r="BY4" s="138"/>
      <c r="BZ4" s="138"/>
      <c r="CA4" s="138"/>
      <c r="CB4"/>
      <c r="CC4"/>
    </row>
    <row r="5" spans="1:83" ht="6.75" customHeight="1" thickBot="1" x14ac:dyDescent="0.25">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63"/>
      <c r="AS5" s="1"/>
      <c r="AT5" s="1"/>
      <c r="AU5" s="1"/>
      <c r="AV5" s="1"/>
      <c r="AW5" s="1"/>
      <c r="AX5" s="1"/>
      <c r="AY5" s="1"/>
      <c r="AZ5" s="1"/>
      <c r="BB5" s="1"/>
      <c r="BC5" s="1"/>
      <c r="BD5" s="1"/>
      <c r="BE5" s="1"/>
      <c r="BF5" s="1"/>
      <c r="BG5" s="1"/>
      <c r="BH5" s="1"/>
      <c r="BI5" s="1"/>
      <c r="BJ5" s="1"/>
      <c r="BK5" s="1"/>
      <c r="BL5" s="1"/>
      <c r="BM5" s="1"/>
      <c r="BN5" s="1"/>
      <c r="BO5" s="1"/>
      <c r="BP5" s="1"/>
      <c r="BQ5" s="1"/>
      <c r="BR5" s="1"/>
      <c r="BS5" s="1"/>
      <c r="BT5" s="1"/>
      <c r="BU5" s="1"/>
      <c r="BV5" s="1"/>
      <c r="BW5" s="1"/>
      <c r="BX5" s="1"/>
      <c r="BY5" s="1"/>
      <c r="BZ5" s="1"/>
      <c r="CA5" s="1"/>
      <c r="CD5" s="1"/>
      <c r="CE5" s="1"/>
    </row>
    <row r="6" spans="1:83" s="2" customFormat="1" ht="213" thickBot="1" x14ac:dyDescent="0.25">
      <c r="A6" s="77" t="s">
        <v>17</v>
      </c>
      <c r="B6" s="7" t="s">
        <v>18</v>
      </c>
      <c r="C6" s="8" t="s">
        <v>19</v>
      </c>
      <c r="D6" s="78" t="s">
        <v>20</v>
      </c>
      <c r="E6" s="10" t="s">
        <v>21</v>
      </c>
      <c r="F6" s="10" t="s">
        <v>22</v>
      </c>
      <c r="G6" s="10" t="s">
        <v>23</v>
      </c>
      <c r="H6" s="10" t="s">
        <v>24</v>
      </c>
      <c r="I6" s="9" t="s">
        <v>25</v>
      </c>
      <c r="J6" s="10" t="s">
        <v>126</v>
      </c>
      <c r="K6" s="10" t="s">
        <v>127</v>
      </c>
      <c r="L6" s="10" t="s">
        <v>128</v>
      </c>
      <c r="M6" s="11" t="s">
        <v>129</v>
      </c>
      <c r="N6" s="10" t="s">
        <v>26</v>
      </c>
      <c r="O6" s="10" t="s">
        <v>27</v>
      </c>
      <c r="P6" s="11" t="s">
        <v>28</v>
      </c>
      <c r="Q6" s="9" t="s">
        <v>29</v>
      </c>
      <c r="R6" s="10" t="s">
        <v>30</v>
      </c>
      <c r="S6" s="11" t="s">
        <v>31</v>
      </c>
      <c r="T6" s="9" t="s">
        <v>32</v>
      </c>
      <c r="U6" s="10" t="s">
        <v>33</v>
      </c>
      <c r="V6" s="10" t="s">
        <v>34</v>
      </c>
      <c r="W6" s="12" t="s">
        <v>35</v>
      </c>
      <c r="X6" s="12" t="s">
        <v>36</v>
      </c>
      <c r="Y6" s="13" t="s">
        <v>37</v>
      </c>
      <c r="Z6" s="9" t="s">
        <v>15</v>
      </c>
      <c r="AA6" s="11" t="s">
        <v>16</v>
      </c>
      <c r="AB6" s="10" t="s">
        <v>110</v>
      </c>
      <c r="AC6" s="9" t="s">
        <v>38</v>
      </c>
      <c r="AD6" s="10" t="s">
        <v>111</v>
      </c>
      <c r="AE6" s="10" t="s">
        <v>39</v>
      </c>
      <c r="AF6" s="10" t="s">
        <v>40</v>
      </c>
      <c r="AG6" s="12" t="s">
        <v>112</v>
      </c>
      <c r="AH6" s="12" t="s">
        <v>113</v>
      </c>
      <c r="AI6" s="12" t="s">
        <v>114</v>
      </c>
      <c r="AJ6" s="13" t="s">
        <v>115</v>
      </c>
      <c r="AK6" s="11" t="s">
        <v>41</v>
      </c>
      <c r="AL6" s="9" t="s">
        <v>42</v>
      </c>
      <c r="AM6" s="12" t="s">
        <v>122</v>
      </c>
      <c r="AN6" s="10" t="s">
        <v>43</v>
      </c>
      <c r="AO6" s="12" t="s">
        <v>123</v>
      </c>
      <c r="AP6" s="10" t="s">
        <v>45</v>
      </c>
      <c r="AQ6" s="12" t="s">
        <v>124</v>
      </c>
      <c r="AR6" s="10" t="s">
        <v>44</v>
      </c>
      <c r="AS6" s="12" t="s">
        <v>125</v>
      </c>
      <c r="AT6" s="10" t="s">
        <v>116</v>
      </c>
      <c r="AU6" s="10" t="s">
        <v>117</v>
      </c>
      <c r="AV6" s="12" t="s">
        <v>118</v>
      </c>
      <c r="AW6" s="10" t="s">
        <v>46</v>
      </c>
      <c r="AX6" s="10" t="s">
        <v>47</v>
      </c>
      <c r="AY6" s="10" t="s">
        <v>48</v>
      </c>
      <c r="AZ6" s="10" t="s">
        <v>49</v>
      </c>
      <c r="BA6" s="107" t="s">
        <v>50</v>
      </c>
      <c r="BB6" s="24" t="s">
        <v>51</v>
      </c>
      <c r="BC6" s="11" t="s">
        <v>52</v>
      </c>
      <c r="BD6" s="11" t="s">
        <v>108</v>
      </c>
      <c r="BE6" s="9" t="s">
        <v>53</v>
      </c>
      <c r="BF6" s="10" t="s">
        <v>54</v>
      </c>
      <c r="BG6" s="10" t="s">
        <v>55</v>
      </c>
      <c r="BH6" s="10" t="s">
        <v>56</v>
      </c>
      <c r="BI6" s="10" t="s">
        <v>57</v>
      </c>
      <c r="BJ6" s="10" t="s">
        <v>58</v>
      </c>
      <c r="BK6" s="11" t="s">
        <v>59</v>
      </c>
      <c r="BL6" s="9" t="s">
        <v>60</v>
      </c>
      <c r="BM6" s="10" t="s">
        <v>61</v>
      </c>
      <c r="BN6" s="10" t="s">
        <v>62</v>
      </c>
      <c r="BO6" s="10" t="s">
        <v>63</v>
      </c>
      <c r="BP6" s="10" t="s">
        <v>64</v>
      </c>
      <c r="BQ6" s="10" t="s">
        <v>65</v>
      </c>
      <c r="BR6" s="11" t="s">
        <v>66</v>
      </c>
      <c r="BS6" s="10" t="s">
        <v>70</v>
      </c>
      <c r="BT6" s="9" t="s">
        <v>67</v>
      </c>
      <c r="BU6" s="10" t="s">
        <v>68</v>
      </c>
      <c r="BV6" s="10" t="s">
        <v>69</v>
      </c>
      <c r="BW6" s="11" t="s">
        <v>71</v>
      </c>
      <c r="BX6" t="s">
        <v>341</v>
      </c>
      <c r="BY6" t="s">
        <v>342</v>
      </c>
    </row>
    <row r="7" spans="1:83" ht="144" x14ac:dyDescent="0.2">
      <c r="A7" t="s">
        <v>167</v>
      </c>
      <c r="B7" t="s">
        <v>348</v>
      </c>
      <c r="C7" t="s">
        <v>349</v>
      </c>
      <c r="D7" s="1" t="s">
        <v>73</v>
      </c>
      <c r="E7" s="1" t="s">
        <v>72</v>
      </c>
      <c r="F7" s="1" t="s">
        <v>73</v>
      </c>
      <c r="G7" s="1" t="s">
        <v>72</v>
      </c>
      <c r="H7" s="1" t="s">
        <v>74</v>
      </c>
      <c r="I7" s="1"/>
      <c r="N7" s="1"/>
      <c r="O7" s="1"/>
      <c r="P7" s="1"/>
      <c r="Q7" s="1" t="s">
        <v>73</v>
      </c>
      <c r="R7" s="1" t="s">
        <v>73</v>
      </c>
      <c r="S7" s="1" t="s">
        <v>73</v>
      </c>
      <c r="T7" s="79"/>
      <c r="U7" s="79"/>
      <c r="V7" s="1"/>
      <c r="W7" s="1"/>
      <c r="X7" s="1"/>
      <c r="Y7" s="1"/>
      <c r="Z7" s="1" t="s">
        <v>73</v>
      </c>
      <c r="AA7" s="1" t="s">
        <v>73</v>
      </c>
      <c r="AB7">
        <v>11</v>
      </c>
      <c r="AC7" s="1">
        <v>2</v>
      </c>
      <c r="AD7">
        <v>1</v>
      </c>
      <c r="AE7" s="1"/>
      <c r="AF7" s="1">
        <v>2</v>
      </c>
      <c r="AG7">
        <v>2</v>
      </c>
      <c r="AH7">
        <v>1</v>
      </c>
      <c r="AJ7">
        <v>2</v>
      </c>
      <c r="AK7" s="1" t="s">
        <v>73</v>
      </c>
      <c r="AL7" s="1" t="s">
        <v>73</v>
      </c>
      <c r="AN7" s="1" t="s">
        <v>73</v>
      </c>
      <c r="AP7" s="1" t="s">
        <v>73</v>
      </c>
      <c r="AR7" s="1" t="s">
        <v>73</v>
      </c>
      <c r="AT7" t="s">
        <v>73</v>
      </c>
      <c r="AW7" s="1">
        <v>50</v>
      </c>
      <c r="AX7" s="1">
        <v>15</v>
      </c>
      <c r="AY7" s="1" t="s">
        <v>72</v>
      </c>
      <c r="AZ7" s="1" t="s">
        <v>73</v>
      </c>
      <c r="BA7" s="126" t="s">
        <v>350</v>
      </c>
      <c r="BB7" s="1">
        <v>1980</v>
      </c>
      <c r="BC7" s="100">
        <v>45656.847210648149</v>
      </c>
      <c r="BD7" s="85">
        <v>45656.805543981478</v>
      </c>
      <c r="BE7" s="1" t="s">
        <v>73</v>
      </c>
      <c r="BF7" s="1" t="s">
        <v>73</v>
      </c>
      <c r="BG7" s="1" t="s">
        <v>73</v>
      </c>
      <c r="BH7" s="1" t="s">
        <v>73</v>
      </c>
      <c r="BI7" s="1" t="s">
        <v>73</v>
      </c>
      <c r="BJ7" s="1" t="s">
        <v>73</v>
      </c>
      <c r="BK7" s="1"/>
      <c r="BL7" s="1" t="s">
        <v>73</v>
      </c>
      <c r="BM7" s="1" t="s">
        <v>73</v>
      </c>
      <c r="BN7" s="1" t="s">
        <v>73</v>
      </c>
      <c r="BO7" s="1" t="s">
        <v>73</v>
      </c>
      <c r="BP7" s="1" t="s">
        <v>73</v>
      </c>
      <c r="BQ7" s="1" t="s">
        <v>73</v>
      </c>
      <c r="BR7" s="1"/>
      <c r="BS7" s="1" t="s">
        <v>75</v>
      </c>
      <c r="BT7" s="1" t="s">
        <v>351</v>
      </c>
      <c r="BU7" s="1" t="s">
        <v>352</v>
      </c>
      <c r="BV7" s="1" t="s">
        <v>353</v>
      </c>
      <c r="BW7" s="1">
        <v>18</v>
      </c>
      <c r="CB7"/>
      <c r="CC7"/>
    </row>
    <row r="8" spans="1:83" ht="112" x14ac:dyDescent="0.2">
      <c r="A8" t="s">
        <v>167</v>
      </c>
      <c r="B8" t="s">
        <v>329</v>
      </c>
      <c r="C8" t="s">
        <v>330</v>
      </c>
      <c r="D8" s="1" t="s">
        <v>73</v>
      </c>
      <c r="E8" s="1" t="s">
        <v>72</v>
      </c>
      <c r="F8" s="1" t="s">
        <v>72</v>
      </c>
      <c r="G8" s="1" t="s">
        <v>73</v>
      </c>
      <c r="H8" s="1"/>
      <c r="I8" s="1">
        <v>9</v>
      </c>
      <c r="N8" s="1"/>
      <c r="O8" s="1"/>
      <c r="P8" s="1"/>
      <c r="Q8" s="1" t="s">
        <v>73</v>
      </c>
      <c r="R8" s="1" t="s">
        <v>73</v>
      </c>
      <c r="S8" s="1" t="s">
        <v>73</v>
      </c>
      <c r="T8" s="79"/>
      <c r="U8" s="79"/>
      <c r="V8" s="1"/>
      <c r="W8" s="1"/>
      <c r="X8" s="1"/>
      <c r="Y8" s="1"/>
      <c r="Z8" s="1" t="s">
        <v>73</v>
      </c>
      <c r="AA8" s="1" t="s">
        <v>73</v>
      </c>
      <c r="AC8" s="1">
        <v>2</v>
      </c>
      <c r="AD8">
        <v>2</v>
      </c>
      <c r="AE8" s="1"/>
      <c r="AF8" s="1">
        <v>1</v>
      </c>
      <c r="AG8">
        <v>3</v>
      </c>
      <c r="AH8">
        <v>1</v>
      </c>
      <c r="AJ8">
        <v>1</v>
      </c>
      <c r="AK8" s="1" t="s">
        <v>73</v>
      </c>
      <c r="AL8" s="1" t="s">
        <v>73</v>
      </c>
      <c r="AN8" s="1" t="s">
        <v>73</v>
      </c>
      <c r="AP8" s="1" t="s">
        <v>73</v>
      </c>
      <c r="AR8" s="1" t="s">
        <v>73</v>
      </c>
      <c r="AT8" t="s">
        <v>73</v>
      </c>
      <c r="AW8" s="1">
        <v>80</v>
      </c>
      <c r="AX8" s="1">
        <v>20</v>
      </c>
      <c r="AY8" s="1" t="s">
        <v>72</v>
      </c>
      <c r="AZ8" s="1" t="s">
        <v>73</v>
      </c>
      <c r="BA8" s="126" t="s">
        <v>331</v>
      </c>
      <c r="BB8" s="1">
        <v>1968</v>
      </c>
      <c r="BC8" s="100">
        <v>45655.670208333337</v>
      </c>
      <c r="BD8" s="85">
        <v>45655.652407407404</v>
      </c>
      <c r="BE8" s="1" t="s">
        <v>73</v>
      </c>
      <c r="BF8" s="1" t="s">
        <v>73</v>
      </c>
      <c r="BG8" s="1" t="s">
        <v>73</v>
      </c>
      <c r="BH8" s="1" t="s">
        <v>73</v>
      </c>
      <c r="BI8" s="1" t="s">
        <v>73</v>
      </c>
      <c r="BJ8" s="1" t="s">
        <v>73</v>
      </c>
      <c r="BK8" s="1"/>
      <c r="BL8" s="1" t="s">
        <v>73</v>
      </c>
      <c r="BM8" s="1" t="s">
        <v>73</v>
      </c>
      <c r="BN8" s="1" t="s">
        <v>73</v>
      </c>
      <c r="BO8" s="1" t="s">
        <v>73</v>
      </c>
      <c r="BP8" s="1" t="s">
        <v>73</v>
      </c>
      <c r="BQ8" s="1" t="s">
        <v>73</v>
      </c>
      <c r="BR8" s="1"/>
      <c r="BS8" s="1" t="s">
        <v>73</v>
      </c>
      <c r="BT8" s="1" t="s">
        <v>73</v>
      </c>
      <c r="BU8" s="1" t="s">
        <v>73</v>
      </c>
      <c r="BV8" s="1" t="s">
        <v>73</v>
      </c>
      <c r="BW8" s="1"/>
      <c r="CB8"/>
      <c r="CC8"/>
    </row>
    <row r="9" spans="1:83" ht="32" x14ac:dyDescent="0.2">
      <c r="A9" t="s">
        <v>167</v>
      </c>
      <c r="B9" t="s">
        <v>303</v>
      </c>
      <c r="C9" t="s">
        <v>304</v>
      </c>
      <c r="D9" s="1" t="s">
        <v>73</v>
      </c>
      <c r="E9" s="1" t="s">
        <v>73</v>
      </c>
      <c r="F9" s="1" t="s">
        <v>73</v>
      </c>
      <c r="G9" s="1" t="s">
        <v>73</v>
      </c>
      <c r="H9" s="1"/>
      <c r="I9" s="1">
        <v>4</v>
      </c>
      <c r="N9" s="1"/>
      <c r="O9" s="1"/>
      <c r="P9" s="1"/>
      <c r="Q9" s="1" t="s">
        <v>73</v>
      </c>
      <c r="R9" s="1" t="s">
        <v>73</v>
      </c>
      <c r="S9" s="1" t="s">
        <v>73</v>
      </c>
      <c r="T9" s="79"/>
      <c r="U9" s="79"/>
      <c r="V9" s="1"/>
      <c r="W9" s="1"/>
      <c r="X9" s="1"/>
      <c r="Y9" s="1"/>
      <c r="Z9" s="1" t="s">
        <v>73</v>
      </c>
      <c r="AA9" s="1" t="s">
        <v>73</v>
      </c>
      <c r="AC9" s="1"/>
      <c r="AE9" s="1"/>
      <c r="AF9" s="1"/>
      <c r="AK9" s="1" t="s">
        <v>73</v>
      </c>
      <c r="AL9" s="1" t="s">
        <v>73</v>
      </c>
      <c r="AN9" s="1" t="s">
        <v>73</v>
      </c>
      <c r="AP9" s="1" t="s">
        <v>73</v>
      </c>
      <c r="AR9" s="1" t="s">
        <v>73</v>
      </c>
      <c r="AT9" t="s">
        <v>73</v>
      </c>
      <c r="AW9" s="1">
        <v>12</v>
      </c>
      <c r="AX9" s="1">
        <v>0</v>
      </c>
      <c r="AY9" s="1" t="s">
        <v>73</v>
      </c>
      <c r="AZ9" s="1" t="s">
        <v>73</v>
      </c>
      <c r="BA9" s="126" t="s">
        <v>305</v>
      </c>
      <c r="BB9" s="1">
        <v>1944</v>
      </c>
      <c r="BC9" s="100">
        <v>45653.597291666665</v>
      </c>
      <c r="BD9" s="85">
        <v>45653.555625000001</v>
      </c>
      <c r="BE9" s="1" t="s">
        <v>73</v>
      </c>
      <c r="BF9" s="1" t="s">
        <v>73</v>
      </c>
      <c r="BG9" s="1" t="s">
        <v>73</v>
      </c>
      <c r="BH9" s="1" t="s">
        <v>73</v>
      </c>
      <c r="BI9" s="1" t="s">
        <v>73</v>
      </c>
      <c r="BJ9" s="1" t="s">
        <v>73</v>
      </c>
      <c r="BK9" s="1"/>
      <c r="BL9" s="1" t="s">
        <v>73</v>
      </c>
      <c r="BM9" s="1" t="s">
        <v>73</v>
      </c>
      <c r="BN9" s="1" t="s">
        <v>73</v>
      </c>
      <c r="BO9" s="1" t="s">
        <v>73</v>
      </c>
      <c r="BP9" s="1" t="s">
        <v>73</v>
      </c>
      <c r="BQ9" s="1" t="s">
        <v>73</v>
      </c>
      <c r="BR9" s="1"/>
      <c r="BS9" s="1" t="s">
        <v>73</v>
      </c>
      <c r="BT9" s="1" t="s">
        <v>73</v>
      </c>
      <c r="BU9" s="1" t="s">
        <v>73</v>
      </c>
      <c r="BV9" s="1" t="s">
        <v>73</v>
      </c>
      <c r="BW9" s="1"/>
      <c r="CB9"/>
      <c r="CC9"/>
    </row>
    <row r="10" spans="1:83" ht="16" x14ac:dyDescent="0.2">
      <c r="A10" t="s">
        <v>167</v>
      </c>
      <c r="B10" t="s">
        <v>306</v>
      </c>
      <c r="C10" t="s">
        <v>307</v>
      </c>
      <c r="D10" s="1" t="s">
        <v>73</v>
      </c>
      <c r="E10" s="1" t="s">
        <v>72</v>
      </c>
      <c r="F10" s="1" t="s">
        <v>73</v>
      </c>
      <c r="G10" s="1" t="s">
        <v>73</v>
      </c>
      <c r="H10" s="1"/>
      <c r="I10" s="1">
        <v>4</v>
      </c>
      <c r="N10" s="1"/>
      <c r="O10" s="1"/>
      <c r="P10" s="1"/>
      <c r="Q10" s="1" t="s">
        <v>73</v>
      </c>
      <c r="R10" s="1" t="s">
        <v>73</v>
      </c>
      <c r="S10" s="1" t="s">
        <v>73</v>
      </c>
      <c r="T10" s="79"/>
      <c r="U10" s="79"/>
      <c r="V10" s="1"/>
      <c r="W10" s="1"/>
      <c r="X10" s="1"/>
      <c r="Y10" s="1"/>
      <c r="Z10" s="1" t="s">
        <v>73</v>
      </c>
      <c r="AA10" s="1" t="s">
        <v>73</v>
      </c>
      <c r="AC10" s="1"/>
      <c r="AE10" s="1"/>
      <c r="AF10" s="1"/>
      <c r="AK10" s="1" t="s">
        <v>73</v>
      </c>
      <c r="AL10" s="1" t="s">
        <v>73</v>
      </c>
      <c r="AN10" s="1" t="s">
        <v>73</v>
      </c>
      <c r="AP10" s="1" t="s">
        <v>73</v>
      </c>
      <c r="AR10" s="1" t="s">
        <v>73</v>
      </c>
      <c r="AT10" t="s">
        <v>73</v>
      </c>
      <c r="AW10" s="1">
        <v>25</v>
      </c>
      <c r="AX10" s="1">
        <v>5</v>
      </c>
      <c r="AY10" s="1" t="s">
        <v>73</v>
      </c>
      <c r="AZ10" s="1" t="s">
        <v>73</v>
      </c>
      <c r="BA10" s="126" t="s">
        <v>308</v>
      </c>
      <c r="BB10" s="1">
        <v>1940</v>
      </c>
      <c r="BC10" s="100">
        <v>45653.434432870374</v>
      </c>
      <c r="BD10" s="85">
        <v>45653.392766203702</v>
      </c>
      <c r="BE10" s="1" t="s">
        <v>73</v>
      </c>
      <c r="BF10" s="1" t="s">
        <v>73</v>
      </c>
      <c r="BG10" s="1" t="s">
        <v>73</v>
      </c>
      <c r="BH10" s="1" t="s">
        <v>73</v>
      </c>
      <c r="BI10" s="1" t="s">
        <v>73</v>
      </c>
      <c r="BJ10" s="1" t="s">
        <v>73</v>
      </c>
      <c r="BK10" s="1"/>
      <c r="BL10" s="1" t="s">
        <v>73</v>
      </c>
      <c r="BM10" s="1" t="s">
        <v>73</v>
      </c>
      <c r="BN10" s="1" t="s">
        <v>73</v>
      </c>
      <c r="BO10" s="1" t="s">
        <v>73</v>
      </c>
      <c r="BP10" s="1" t="s">
        <v>73</v>
      </c>
      <c r="BQ10" s="1" t="s">
        <v>73</v>
      </c>
      <c r="BR10" s="1"/>
      <c r="BS10" s="1" t="s">
        <v>73</v>
      </c>
      <c r="BT10" s="1" t="s">
        <v>73</v>
      </c>
      <c r="BU10" s="1" t="s">
        <v>73</v>
      </c>
      <c r="BV10" s="1" t="s">
        <v>73</v>
      </c>
      <c r="BW10" s="1"/>
      <c r="CB10"/>
      <c r="CC10"/>
    </row>
    <row r="11" spans="1:83" ht="16" x14ac:dyDescent="0.2">
      <c r="A11" t="s">
        <v>167</v>
      </c>
      <c r="B11" t="s">
        <v>288</v>
      </c>
      <c r="C11" t="s">
        <v>289</v>
      </c>
      <c r="D11" s="1" t="s">
        <v>73</v>
      </c>
      <c r="E11" s="1" t="s">
        <v>72</v>
      </c>
      <c r="F11" s="1" t="s">
        <v>72</v>
      </c>
      <c r="G11" s="1" t="s">
        <v>72</v>
      </c>
      <c r="H11" s="1" t="s">
        <v>74</v>
      </c>
      <c r="I11" s="1">
        <v>10</v>
      </c>
      <c r="J11">
        <v>9</v>
      </c>
      <c r="L11">
        <v>3</v>
      </c>
      <c r="N11" s="1"/>
      <c r="O11" s="1"/>
      <c r="P11" s="1"/>
      <c r="Q11" s="1" t="s">
        <v>73</v>
      </c>
      <c r="R11" s="1" t="s">
        <v>73</v>
      </c>
      <c r="S11" s="1" t="s">
        <v>73</v>
      </c>
      <c r="T11" s="79"/>
      <c r="U11" s="79"/>
      <c r="V11" s="1"/>
      <c r="W11" s="1">
        <v>1</v>
      </c>
      <c r="X11" s="1"/>
      <c r="Y11" s="1"/>
      <c r="Z11" s="1" t="s">
        <v>73</v>
      </c>
      <c r="AA11" s="1" t="s">
        <v>73</v>
      </c>
      <c r="AB11">
        <v>4</v>
      </c>
      <c r="AC11" s="1">
        <v>9</v>
      </c>
      <c r="AD11">
        <v>2</v>
      </c>
      <c r="AE11" s="1">
        <v>2</v>
      </c>
      <c r="AF11" s="1">
        <v>2</v>
      </c>
      <c r="AG11">
        <v>9</v>
      </c>
      <c r="AH11">
        <v>2</v>
      </c>
      <c r="AI11">
        <v>2</v>
      </c>
      <c r="AJ11">
        <v>2</v>
      </c>
      <c r="AK11" s="1" t="s">
        <v>73</v>
      </c>
      <c r="AL11" s="1" t="s">
        <v>73</v>
      </c>
      <c r="AN11" s="1" t="s">
        <v>73</v>
      </c>
      <c r="AP11" s="1" t="s">
        <v>73</v>
      </c>
      <c r="AR11" s="1" t="s">
        <v>73</v>
      </c>
      <c r="AT11" t="s">
        <v>73</v>
      </c>
      <c r="AW11" s="1">
        <v>130</v>
      </c>
      <c r="AX11" s="1">
        <v>35</v>
      </c>
      <c r="AY11" s="1" t="s">
        <v>73</v>
      </c>
      <c r="AZ11" s="1" t="s">
        <v>73</v>
      </c>
      <c r="BA11" s="126" t="s">
        <v>73</v>
      </c>
      <c r="BB11" s="1">
        <v>1925</v>
      </c>
      <c r="BC11" s="100">
        <v>45652.501550925925</v>
      </c>
      <c r="BD11" s="85">
        <v>45652.45988425926</v>
      </c>
      <c r="BE11" s="1" t="s">
        <v>73</v>
      </c>
      <c r="BF11" s="1" t="s">
        <v>73</v>
      </c>
      <c r="BG11" s="1" t="s">
        <v>73</v>
      </c>
      <c r="BH11" s="1" t="s">
        <v>73</v>
      </c>
      <c r="BI11" s="1" t="s">
        <v>73</v>
      </c>
      <c r="BJ11" s="1" t="s">
        <v>73</v>
      </c>
      <c r="BK11" s="1"/>
      <c r="BL11" s="1" t="s">
        <v>73</v>
      </c>
      <c r="BM11" s="1" t="s">
        <v>73</v>
      </c>
      <c r="BN11" s="1" t="s">
        <v>73</v>
      </c>
      <c r="BO11" s="1" t="s">
        <v>73</v>
      </c>
      <c r="BP11" s="1" t="s">
        <v>73</v>
      </c>
      <c r="BQ11" s="1" t="s">
        <v>73</v>
      </c>
      <c r="BR11" s="1"/>
      <c r="BS11" s="1" t="s">
        <v>75</v>
      </c>
      <c r="BT11" s="1" t="s">
        <v>290</v>
      </c>
      <c r="BU11" s="1" t="s">
        <v>189</v>
      </c>
      <c r="BV11" s="1" t="s">
        <v>291</v>
      </c>
      <c r="BW11" s="1">
        <v>18</v>
      </c>
      <c r="CB11"/>
      <c r="CC11"/>
    </row>
    <row r="12" spans="1:83" ht="16" x14ac:dyDescent="0.2">
      <c r="A12" t="s">
        <v>167</v>
      </c>
      <c r="B12" t="s">
        <v>278</v>
      </c>
      <c r="C12" t="s">
        <v>279</v>
      </c>
      <c r="D12" s="1" t="s">
        <v>73</v>
      </c>
      <c r="E12" s="1" t="s">
        <v>72</v>
      </c>
      <c r="F12" s="1" t="s">
        <v>72</v>
      </c>
      <c r="G12" s="1" t="s">
        <v>73</v>
      </c>
      <c r="H12" s="1" t="s">
        <v>72</v>
      </c>
      <c r="I12" s="1">
        <v>6</v>
      </c>
      <c r="J12">
        <v>6</v>
      </c>
      <c r="N12" s="1"/>
      <c r="O12" s="1"/>
      <c r="P12" s="1"/>
      <c r="Q12" s="1" t="s">
        <v>73</v>
      </c>
      <c r="R12" s="1" t="s">
        <v>73</v>
      </c>
      <c r="S12" s="1" t="s">
        <v>73</v>
      </c>
      <c r="T12" s="79"/>
      <c r="U12" s="79"/>
      <c r="V12" s="1"/>
      <c r="W12" s="1"/>
      <c r="X12" s="1"/>
      <c r="Y12" s="1"/>
      <c r="Z12" s="1" t="s">
        <v>73</v>
      </c>
      <c r="AA12" s="1" t="s">
        <v>73</v>
      </c>
      <c r="AB12">
        <v>3</v>
      </c>
      <c r="AC12" s="1">
        <v>3</v>
      </c>
      <c r="AE12" s="1"/>
      <c r="AF12" s="1"/>
      <c r="AG12">
        <v>3</v>
      </c>
      <c r="AK12" s="1" t="s">
        <v>73</v>
      </c>
      <c r="AL12" s="1" t="s">
        <v>73</v>
      </c>
      <c r="AN12" s="1" t="s">
        <v>73</v>
      </c>
      <c r="AP12" s="1" t="s">
        <v>73</v>
      </c>
      <c r="AR12" s="1" t="s">
        <v>73</v>
      </c>
      <c r="AT12" t="s">
        <v>73</v>
      </c>
      <c r="AW12" s="1">
        <v>100</v>
      </c>
      <c r="AX12" s="1">
        <v>30</v>
      </c>
      <c r="AY12" s="1" t="s">
        <v>72</v>
      </c>
      <c r="AZ12" s="1" t="s">
        <v>72</v>
      </c>
      <c r="BA12" s="126" t="s">
        <v>73</v>
      </c>
      <c r="BB12" s="1">
        <v>1916</v>
      </c>
      <c r="BC12" s="100">
        <v>45649.823298611111</v>
      </c>
      <c r="BD12" s="85">
        <v>45649.781631944446</v>
      </c>
      <c r="BE12" s="1" t="s">
        <v>73</v>
      </c>
      <c r="BF12" s="1" t="s">
        <v>73</v>
      </c>
      <c r="BG12" s="1" t="s">
        <v>73</v>
      </c>
      <c r="BH12" s="1" t="s">
        <v>73</v>
      </c>
      <c r="BI12" s="1" t="s">
        <v>73</v>
      </c>
      <c r="BJ12" s="1" t="s">
        <v>73</v>
      </c>
      <c r="BK12" s="1"/>
      <c r="BL12" s="1" t="s">
        <v>73</v>
      </c>
      <c r="BM12" s="1" t="s">
        <v>73</v>
      </c>
      <c r="BN12" s="1" t="s">
        <v>73</v>
      </c>
      <c r="BO12" s="1" t="s">
        <v>73</v>
      </c>
      <c r="BP12" s="1" t="s">
        <v>73</v>
      </c>
      <c r="BQ12" s="1" t="s">
        <v>73</v>
      </c>
      <c r="BR12" s="1"/>
      <c r="BS12" s="1" t="s">
        <v>75</v>
      </c>
      <c r="BT12" s="1" t="s">
        <v>280</v>
      </c>
      <c r="BU12" s="1" t="s">
        <v>281</v>
      </c>
      <c r="BV12" s="1" t="s">
        <v>282</v>
      </c>
      <c r="BW12" s="1">
        <v>12</v>
      </c>
      <c r="CB12"/>
      <c r="CC12"/>
    </row>
    <row r="13" spans="1:83" ht="16" x14ac:dyDescent="0.2">
      <c r="A13" t="s">
        <v>167</v>
      </c>
      <c r="B13" t="s">
        <v>262</v>
      </c>
      <c r="C13" t="s">
        <v>263</v>
      </c>
      <c r="D13" s="1" t="s">
        <v>73</v>
      </c>
      <c r="E13" s="1" t="s">
        <v>72</v>
      </c>
      <c r="F13" s="1" t="s">
        <v>72</v>
      </c>
      <c r="G13" s="1" t="s">
        <v>72</v>
      </c>
      <c r="H13" s="1" t="s">
        <v>74</v>
      </c>
      <c r="I13" s="1">
        <v>10</v>
      </c>
      <c r="L13">
        <v>3</v>
      </c>
      <c r="N13" s="1"/>
      <c r="O13" s="1"/>
      <c r="P13" s="1"/>
      <c r="Q13" s="1" t="s">
        <v>73</v>
      </c>
      <c r="R13" s="1" t="s">
        <v>73</v>
      </c>
      <c r="S13" s="1" t="s">
        <v>73</v>
      </c>
      <c r="T13" s="79"/>
      <c r="U13" s="79">
        <v>1</v>
      </c>
      <c r="V13" s="1">
        <v>1</v>
      </c>
      <c r="W13" s="1"/>
      <c r="X13" s="1">
        <v>1</v>
      </c>
      <c r="Y13" s="1">
        <v>1</v>
      </c>
      <c r="Z13" s="1" t="s">
        <v>73</v>
      </c>
      <c r="AA13" s="1" t="s">
        <v>73</v>
      </c>
      <c r="AB13">
        <v>5</v>
      </c>
      <c r="AC13" s="1">
        <v>9</v>
      </c>
      <c r="AE13" s="1">
        <v>1</v>
      </c>
      <c r="AF13" s="1"/>
      <c r="AG13">
        <v>9</v>
      </c>
      <c r="AI13">
        <v>1</v>
      </c>
      <c r="AK13" s="1" t="s">
        <v>73</v>
      </c>
      <c r="AL13" s="1" t="s">
        <v>73</v>
      </c>
      <c r="AN13" s="1" t="s">
        <v>73</v>
      </c>
      <c r="AP13" s="1" t="s">
        <v>73</v>
      </c>
      <c r="AR13" s="1" t="s">
        <v>73</v>
      </c>
      <c r="AT13" t="s">
        <v>73</v>
      </c>
      <c r="AW13" s="1">
        <v>70</v>
      </c>
      <c r="AX13" s="1">
        <v>26</v>
      </c>
      <c r="AY13" s="1" t="s">
        <v>73</v>
      </c>
      <c r="AZ13" s="1" t="s">
        <v>73</v>
      </c>
      <c r="BA13" s="126" t="s">
        <v>73</v>
      </c>
      <c r="BB13" s="1">
        <v>1897</v>
      </c>
      <c r="BC13" s="100">
        <v>45648.873472222222</v>
      </c>
      <c r="BD13" s="85">
        <v>45648.831805555557</v>
      </c>
      <c r="BE13" s="1" t="s">
        <v>73</v>
      </c>
      <c r="BF13" s="1" t="s">
        <v>73</v>
      </c>
      <c r="BG13" s="1" t="s">
        <v>73</v>
      </c>
      <c r="BH13" s="1" t="s">
        <v>73</v>
      </c>
      <c r="BI13" s="1" t="s">
        <v>73</v>
      </c>
      <c r="BJ13" s="1" t="s">
        <v>73</v>
      </c>
      <c r="BK13" s="1"/>
      <c r="BL13" s="1" t="s">
        <v>73</v>
      </c>
      <c r="BM13" s="1" t="s">
        <v>73</v>
      </c>
      <c r="BN13" s="1" t="s">
        <v>73</v>
      </c>
      <c r="BO13" s="1" t="s">
        <v>73</v>
      </c>
      <c r="BP13" s="1" t="s">
        <v>73</v>
      </c>
      <c r="BQ13" s="1" t="s">
        <v>73</v>
      </c>
      <c r="BR13" s="1"/>
      <c r="BS13" s="1" t="s">
        <v>75</v>
      </c>
      <c r="BT13" s="1" t="s">
        <v>264</v>
      </c>
      <c r="BU13" s="1" t="s">
        <v>265</v>
      </c>
      <c r="BV13" s="1" t="s">
        <v>266</v>
      </c>
      <c r="BW13" s="1">
        <v>20</v>
      </c>
      <c r="CB13"/>
      <c r="CC13"/>
    </row>
    <row r="14" spans="1:83" ht="48" x14ac:dyDescent="0.2">
      <c r="A14" t="s">
        <v>167</v>
      </c>
      <c r="B14" t="s">
        <v>231</v>
      </c>
      <c r="C14" t="s">
        <v>232</v>
      </c>
      <c r="D14" s="1" t="s">
        <v>73</v>
      </c>
      <c r="E14" s="1" t="s">
        <v>72</v>
      </c>
      <c r="F14" s="1" t="s">
        <v>72</v>
      </c>
      <c r="G14" s="1" t="s">
        <v>73</v>
      </c>
      <c r="H14" s="1"/>
      <c r="I14" s="1">
        <v>10</v>
      </c>
      <c r="N14" s="1"/>
      <c r="O14" s="1"/>
      <c r="P14" s="1"/>
      <c r="Q14" s="1" t="s">
        <v>73</v>
      </c>
      <c r="R14" s="1" t="s">
        <v>73</v>
      </c>
      <c r="S14" s="1" t="s">
        <v>73</v>
      </c>
      <c r="T14" s="79"/>
      <c r="U14" s="79"/>
      <c r="V14" s="1"/>
      <c r="W14" s="1"/>
      <c r="X14" s="1"/>
      <c r="Y14" s="1"/>
      <c r="Z14" s="1" t="s">
        <v>73</v>
      </c>
      <c r="AA14" s="1" t="s">
        <v>73</v>
      </c>
      <c r="AC14" s="1">
        <v>5</v>
      </c>
      <c r="AE14" s="1"/>
      <c r="AF14" s="1"/>
      <c r="AG14">
        <v>5</v>
      </c>
      <c r="AK14" s="1" t="s">
        <v>73</v>
      </c>
      <c r="AL14" s="1" t="s">
        <v>73</v>
      </c>
      <c r="AN14" s="1" t="s">
        <v>73</v>
      </c>
      <c r="AP14" s="1" t="s">
        <v>73</v>
      </c>
      <c r="AR14" s="1" t="s">
        <v>73</v>
      </c>
      <c r="AT14" t="s">
        <v>73</v>
      </c>
      <c r="AW14" s="1">
        <v>70</v>
      </c>
      <c r="AX14" s="1">
        <v>5</v>
      </c>
      <c r="AY14" s="1" t="s">
        <v>72</v>
      </c>
      <c r="AZ14" s="1" t="s">
        <v>73</v>
      </c>
      <c r="BA14" s="126" t="s">
        <v>233</v>
      </c>
      <c r="BB14" s="1">
        <v>1872</v>
      </c>
      <c r="BC14" s="100">
        <v>45645.466805555552</v>
      </c>
      <c r="BD14" s="85">
        <v>45645.425138888888</v>
      </c>
      <c r="BE14" s="1" t="s">
        <v>73</v>
      </c>
      <c r="BF14" s="1" t="s">
        <v>73</v>
      </c>
      <c r="BG14" s="1" t="s">
        <v>73</v>
      </c>
      <c r="BH14" s="1" t="s">
        <v>73</v>
      </c>
      <c r="BI14" s="1" t="s">
        <v>73</v>
      </c>
      <c r="BJ14" s="1" t="s">
        <v>73</v>
      </c>
      <c r="BK14" s="1"/>
      <c r="BL14" s="1" t="s">
        <v>73</v>
      </c>
      <c r="BM14" s="1" t="s">
        <v>73</v>
      </c>
      <c r="BN14" s="1" t="s">
        <v>73</v>
      </c>
      <c r="BO14" s="1" t="s">
        <v>73</v>
      </c>
      <c r="BP14" s="1" t="s">
        <v>73</v>
      </c>
      <c r="BQ14" s="1" t="s">
        <v>73</v>
      </c>
      <c r="BR14" s="1"/>
      <c r="BS14" s="1" t="s">
        <v>73</v>
      </c>
      <c r="BT14" s="1" t="s">
        <v>73</v>
      </c>
      <c r="BU14" s="1" t="s">
        <v>73</v>
      </c>
      <c r="BV14" s="1" t="s">
        <v>73</v>
      </c>
      <c r="BW14" s="1"/>
      <c r="CB14"/>
      <c r="CC14"/>
    </row>
    <row r="15" spans="1:83" ht="16" x14ac:dyDescent="0.2">
      <c r="A15" t="s">
        <v>167</v>
      </c>
      <c r="B15" t="s">
        <v>203</v>
      </c>
      <c r="C15" t="s">
        <v>204</v>
      </c>
      <c r="D15" s="1" t="s">
        <v>73</v>
      </c>
      <c r="E15" s="1" t="s">
        <v>72</v>
      </c>
      <c r="F15" s="1" t="s">
        <v>73</v>
      </c>
      <c r="G15" s="1" t="s">
        <v>73</v>
      </c>
      <c r="H15" s="1"/>
      <c r="I15" s="1"/>
      <c r="N15" s="1"/>
      <c r="O15" s="1"/>
      <c r="P15" s="1"/>
      <c r="Q15" s="1" t="s">
        <v>73</v>
      </c>
      <c r="R15" s="1" t="s">
        <v>73</v>
      </c>
      <c r="S15" s="1" t="s">
        <v>73</v>
      </c>
      <c r="T15" s="79"/>
      <c r="U15" s="79"/>
      <c r="V15" s="1"/>
      <c r="W15" s="1"/>
      <c r="X15" s="1"/>
      <c r="Y15" s="1"/>
      <c r="Z15" s="1" t="s">
        <v>73</v>
      </c>
      <c r="AA15" s="1" t="s">
        <v>73</v>
      </c>
      <c r="AC15" s="1"/>
      <c r="AE15" s="1"/>
      <c r="AF15" s="1"/>
      <c r="AK15" s="1" t="s">
        <v>73</v>
      </c>
      <c r="AL15" s="1" t="s">
        <v>73</v>
      </c>
      <c r="AN15" s="1" t="s">
        <v>73</v>
      </c>
      <c r="AP15" s="1" t="s">
        <v>73</v>
      </c>
      <c r="AR15" s="1" t="s">
        <v>73</v>
      </c>
      <c r="AT15" t="s">
        <v>73</v>
      </c>
      <c r="AW15" s="1">
        <v>55</v>
      </c>
      <c r="AX15" s="1">
        <v>2</v>
      </c>
      <c r="AY15" s="1" t="s">
        <v>72</v>
      </c>
      <c r="AZ15" s="1" t="s">
        <v>73</v>
      </c>
      <c r="BA15" s="126" t="s">
        <v>73</v>
      </c>
      <c r="BB15" s="1">
        <v>1842</v>
      </c>
      <c r="BC15" s="100">
        <v>45642.662719907406</v>
      </c>
      <c r="BD15" s="85">
        <v>45642.621053240742</v>
      </c>
      <c r="BE15" s="1" t="s">
        <v>73</v>
      </c>
      <c r="BF15" s="1" t="s">
        <v>73</v>
      </c>
      <c r="BG15" s="1" t="s">
        <v>73</v>
      </c>
      <c r="BH15" s="1" t="s">
        <v>73</v>
      </c>
      <c r="BI15" s="1" t="s">
        <v>73</v>
      </c>
      <c r="BJ15" s="1" t="s">
        <v>73</v>
      </c>
      <c r="BK15" s="1"/>
      <c r="BL15" s="1" t="s">
        <v>73</v>
      </c>
      <c r="BM15" s="1" t="s">
        <v>73</v>
      </c>
      <c r="BN15" s="1" t="s">
        <v>73</v>
      </c>
      <c r="BO15" s="1" t="s">
        <v>73</v>
      </c>
      <c r="BP15" s="1" t="s">
        <v>73</v>
      </c>
      <c r="BQ15" s="1" t="s">
        <v>73</v>
      </c>
      <c r="BR15" s="1"/>
      <c r="BS15" s="1" t="s">
        <v>73</v>
      </c>
      <c r="BT15" s="1" t="s">
        <v>73</v>
      </c>
      <c r="BU15" s="1" t="s">
        <v>73</v>
      </c>
      <c r="BV15" s="1" t="s">
        <v>73</v>
      </c>
      <c r="BW15" s="1"/>
      <c r="CB15"/>
      <c r="CC15"/>
    </row>
    <row r="16" spans="1:83" ht="16" x14ac:dyDescent="0.2">
      <c r="A16" t="s">
        <v>167</v>
      </c>
      <c r="B16" t="s">
        <v>153</v>
      </c>
      <c r="C16" t="s">
        <v>154</v>
      </c>
      <c r="D16" s="1" t="s">
        <v>73</v>
      </c>
      <c r="E16" s="1" t="s">
        <v>72</v>
      </c>
      <c r="F16" s="1" t="s">
        <v>72</v>
      </c>
      <c r="G16" s="1" t="s">
        <v>73</v>
      </c>
      <c r="H16" s="1"/>
      <c r="I16" s="1">
        <v>14</v>
      </c>
      <c r="N16" s="1">
        <v>6</v>
      </c>
      <c r="O16" s="1"/>
      <c r="P16" s="1"/>
      <c r="Q16" s="1" t="s">
        <v>73</v>
      </c>
      <c r="R16" s="1" t="s">
        <v>73</v>
      </c>
      <c r="S16" s="1" t="s">
        <v>73</v>
      </c>
      <c r="T16" s="79">
        <v>5</v>
      </c>
      <c r="U16" s="79"/>
      <c r="V16" s="1"/>
      <c r="W16" s="1">
        <v>5</v>
      </c>
      <c r="X16" s="1"/>
      <c r="Y16" s="1"/>
      <c r="Z16" s="1" t="s">
        <v>73</v>
      </c>
      <c r="AA16" s="1" t="s">
        <v>73</v>
      </c>
      <c r="AC16" s="1">
        <v>5</v>
      </c>
      <c r="AE16" s="1"/>
      <c r="AF16" s="1"/>
      <c r="AG16">
        <v>5</v>
      </c>
      <c r="AK16" s="1" t="s">
        <v>73</v>
      </c>
      <c r="AL16" s="1" t="s">
        <v>73</v>
      </c>
      <c r="AN16" s="1" t="s">
        <v>73</v>
      </c>
      <c r="AP16" s="1" t="s">
        <v>73</v>
      </c>
      <c r="AR16" s="1" t="s">
        <v>73</v>
      </c>
      <c r="AT16" t="s">
        <v>73</v>
      </c>
      <c r="AW16" s="1">
        <v>50</v>
      </c>
      <c r="AX16" s="1">
        <v>10</v>
      </c>
      <c r="AY16" s="1" t="s">
        <v>72</v>
      </c>
      <c r="AZ16" s="1" t="s">
        <v>73</v>
      </c>
      <c r="BA16" s="126" t="s">
        <v>73</v>
      </c>
      <c r="BB16" s="1">
        <v>1837</v>
      </c>
      <c r="BC16" s="100">
        <v>45641.532141203701</v>
      </c>
      <c r="BD16" s="85">
        <v>45641.490474537037</v>
      </c>
      <c r="BE16" s="1" t="s">
        <v>73</v>
      </c>
      <c r="BF16" s="1" t="s">
        <v>73</v>
      </c>
      <c r="BG16" s="1" t="s">
        <v>73</v>
      </c>
      <c r="BH16" s="1" t="s">
        <v>73</v>
      </c>
      <c r="BI16" s="1" t="s">
        <v>73</v>
      </c>
      <c r="BJ16" s="1" t="s">
        <v>73</v>
      </c>
      <c r="BK16" s="1"/>
      <c r="BL16" s="1" t="s">
        <v>73</v>
      </c>
      <c r="BM16" s="1" t="s">
        <v>73</v>
      </c>
      <c r="BN16" s="1" t="s">
        <v>73</v>
      </c>
      <c r="BO16" s="1" t="s">
        <v>73</v>
      </c>
      <c r="BP16" s="1" t="s">
        <v>73</v>
      </c>
      <c r="BQ16" s="1" t="s">
        <v>73</v>
      </c>
      <c r="BR16" s="1"/>
      <c r="BS16" s="1" t="s">
        <v>73</v>
      </c>
      <c r="BT16" s="1" t="s">
        <v>73</v>
      </c>
      <c r="BU16" s="1" t="s">
        <v>73</v>
      </c>
      <c r="BV16" s="1" t="s">
        <v>73</v>
      </c>
      <c r="BW16" s="1"/>
      <c r="CB16"/>
      <c r="CC16"/>
    </row>
    <row r="17" spans="1:81" ht="16" x14ac:dyDescent="0.2">
      <c r="A17" t="s">
        <v>167</v>
      </c>
      <c r="B17" t="s">
        <v>186</v>
      </c>
      <c r="C17" t="s">
        <v>187</v>
      </c>
      <c r="D17" s="1" t="s">
        <v>73</v>
      </c>
      <c r="E17" s="1" t="s">
        <v>72</v>
      </c>
      <c r="F17" s="1" t="s">
        <v>73</v>
      </c>
      <c r="G17" s="1" t="s">
        <v>72</v>
      </c>
      <c r="H17" s="1" t="s">
        <v>74</v>
      </c>
      <c r="I17" s="1">
        <v>7</v>
      </c>
      <c r="N17" s="1"/>
      <c r="O17" s="1"/>
      <c r="P17" s="1"/>
      <c r="Q17" s="1" t="s">
        <v>73</v>
      </c>
      <c r="R17" s="1" t="s">
        <v>73</v>
      </c>
      <c r="S17" s="1" t="s">
        <v>73</v>
      </c>
      <c r="T17" s="79"/>
      <c r="U17" s="79"/>
      <c r="V17" s="1"/>
      <c r="W17" s="1">
        <v>1</v>
      </c>
      <c r="X17" s="1"/>
      <c r="Y17" s="1"/>
      <c r="Z17" s="1" t="s">
        <v>73</v>
      </c>
      <c r="AA17" s="1" t="s">
        <v>73</v>
      </c>
      <c r="AB17">
        <v>4</v>
      </c>
      <c r="AC17" s="1">
        <v>5</v>
      </c>
      <c r="AE17" s="1"/>
      <c r="AF17" s="1"/>
      <c r="AG17">
        <v>4</v>
      </c>
      <c r="AK17" s="1" t="s">
        <v>73</v>
      </c>
      <c r="AL17" s="1" t="s">
        <v>73</v>
      </c>
      <c r="AN17" s="1" t="s">
        <v>73</v>
      </c>
      <c r="AP17" s="1" t="s">
        <v>73</v>
      </c>
      <c r="AR17" s="1" t="s">
        <v>73</v>
      </c>
      <c r="AT17" t="s">
        <v>73</v>
      </c>
      <c r="AW17" s="1">
        <v>90</v>
      </c>
      <c r="AX17" s="1">
        <v>20</v>
      </c>
      <c r="AY17" s="1" t="s">
        <v>72</v>
      </c>
      <c r="AZ17" s="1" t="s">
        <v>73</v>
      </c>
      <c r="BA17" s="126" t="s">
        <v>73</v>
      </c>
      <c r="BB17" s="1">
        <v>1835</v>
      </c>
      <c r="BC17" s="100">
        <v>45639.889189814814</v>
      </c>
      <c r="BD17" s="85">
        <v>45639.84752314815</v>
      </c>
      <c r="BE17" s="1" t="s">
        <v>73</v>
      </c>
      <c r="BF17" s="1" t="s">
        <v>73</v>
      </c>
      <c r="BG17" s="1" t="s">
        <v>73</v>
      </c>
      <c r="BH17" s="1" t="s">
        <v>73</v>
      </c>
      <c r="BI17" s="1" t="s">
        <v>73</v>
      </c>
      <c r="BJ17" s="1" t="s">
        <v>73</v>
      </c>
      <c r="BK17" s="1"/>
      <c r="BL17" s="1" t="s">
        <v>73</v>
      </c>
      <c r="BM17" s="1" t="s">
        <v>73</v>
      </c>
      <c r="BN17" s="1" t="s">
        <v>73</v>
      </c>
      <c r="BO17" s="1" t="s">
        <v>73</v>
      </c>
      <c r="BP17" s="1" t="s">
        <v>73</v>
      </c>
      <c r="BQ17" s="1" t="s">
        <v>73</v>
      </c>
      <c r="BR17" s="1"/>
      <c r="BS17" s="1" t="s">
        <v>75</v>
      </c>
      <c r="BT17" s="1" t="s">
        <v>188</v>
      </c>
      <c r="BU17" s="1" t="s">
        <v>189</v>
      </c>
      <c r="BV17" s="1" t="s">
        <v>190</v>
      </c>
      <c r="BW17" s="1">
        <v>8</v>
      </c>
      <c r="CB17"/>
      <c r="CC17"/>
    </row>
    <row r="18" spans="1:81" s="32" customFormat="1" ht="16" x14ac:dyDescent="0.2">
      <c r="A18" t="s">
        <v>167</v>
      </c>
      <c r="B18" t="s">
        <v>172</v>
      </c>
      <c r="C18" t="s">
        <v>168</v>
      </c>
      <c r="D18" s="1" t="s">
        <v>73</v>
      </c>
      <c r="E18" s="1" t="s">
        <v>72</v>
      </c>
      <c r="F18" s="1" t="s">
        <v>72</v>
      </c>
      <c r="G18" s="1" t="s">
        <v>73</v>
      </c>
      <c r="H18" s="1" t="s">
        <v>72</v>
      </c>
      <c r="I18" s="1">
        <v>10</v>
      </c>
      <c r="J18">
        <v>3</v>
      </c>
      <c r="K18"/>
      <c r="L18">
        <v>7</v>
      </c>
      <c r="M18"/>
      <c r="N18" s="1"/>
      <c r="O18" s="1"/>
      <c r="P18" s="1"/>
      <c r="Q18" s="1" t="s">
        <v>73</v>
      </c>
      <c r="R18" s="1" t="s">
        <v>73</v>
      </c>
      <c r="S18" s="1" t="s">
        <v>73</v>
      </c>
      <c r="T18" s="79"/>
      <c r="U18" s="79"/>
      <c r="V18" s="1"/>
      <c r="W18" s="1"/>
      <c r="X18" s="1"/>
      <c r="Y18" s="1"/>
      <c r="Z18" s="1" t="s">
        <v>73</v>
      </c>
      <c r="AA18" s="1" t="s">
        <v>73</v>
      </c>
      <c r="AB18">
        <v>1</v>
      </c>
      <c r="AC18" s="1">
        <v>11</v>
      </c>
      <c r="AD18"/>
      <c r="AE18" s="1"/>
      <c r="AF18" s="1">
        <v>4</v>
      </c>
      <c r="AG18">
        <v>11</v>
      </c>
      <c r="AH18"/>
      <c r="AI18"/>
      <c r="AJ18">
        <v>4</v>
      </c>
      <c r="AK18" s="1" t="s">
        <v>73</v>
      </c>
      <c r="AL18" s="1" t="s">
        <v>73</v>
      </c>
      <c r="AM18"/>
      <c r="AN18" s="1" t="s">
        <v>73</v>
      </c>
      <c r="AO18"/>
      <c r="AP18" s="1" t="s">
        <v>73</v>
      </c>
      <c r="AQ18"/>
      <c r="AR18" s="1" t="s">
        <v>73</v>
      </c>
      <c r="AS18"/>
      <c r="AT18" t="s">
        <v>73</v>
      </c>
      <c r="AU18"/>
      <c r="AV18"/>
      <c r="AW18" s="1">
        <v>105</v>
      </c>
      <c r="AX18" s="1">
        <v>26</v>
      </c>
      <c r="AY18" s="1" t="s">
        <v>73</v>
      </c>
      <c r="AZ18" s="1" t="s">
        <v>73</v>
      </c>
      <c r="BA18" s="126" t="s">
        <v>73</v>
      </c>
      <c r="BB18" s="1">
        <v>1832</v>
      </c>
      <c r="BC18" s="100">
        <v>45639.39634259259</v>
      </c>
      <c r="BD18" s="85">
        <v>45639.354675925926</v>
      </c>
      <c r="BE18" s="1" t="s">
        <v>73</v>
      </c>
      <c r="BF18" s="1" t="s">
        <v>73</v>
      </c>
      <c r="BG18" s="1" t="s">
        <v>73</v>
      </c>
      <c r="BH18" s="1" t="s">
        <v>73</v>
      </c>
      <c r="BI18" s="1" t="s">
        <v>73</v>
      </c>
      <c r="BJ18" s="1" t="s">
        <v>73</v>
      </c>
      <c r="BK18" s="1"/>
      <c r="BL18" s="1" t="s">
        <v>73</v>
      </c>
      <c r="BM18" s="1" t="s">
        <v>73</v>
      </c>
      <c r="BN18" s="1" t="s">
        <v>73</v>
      </c>
      <c r="BO18" s="1" t="s">
        <v>73</v>
      </c>
      <c r="BP18" s="1" t="s">
        <v>73</v>
      </c>
      <c r="BQ18" s="1" t="s">
        <v>73</v>
      </c>
      <c r="BR18" s="1"/>
      <c r="BS18" s="1" t="s">
        <v>169</v>
      </c>
      <c r="BT18" s="1" t="s">
        <v>196</v>
      </c>
      <c r="BU18" s="1" t="s">
        <v>197</v>
      </c>
      <c r="BV18" s="1" t="s">
        <v>198</v>
      </c>
      <c r="BW18" s="1">
        <v>16</v>
      </c>
      <c r="BX18"/>
      <c r="BY18"/>
    </row>
    <row r="19" spans="1:81" ht="16" x14ac:dyDescent="0.2">
      <c r="A19" t="s">
        <v>134</v>
      </c>
      <c r="B19" t="s">
        <v>343</v>
      </c>
      <c r="C19" t="s">
        <v>344</v>
      </c>
      <c r="D19" s="1" t="s">
        <v>73</v>
      </c>
      <c r="E19" s="1" t="s">
        <v>72</v>
      </c>
      <c r="F19" s="1" t="s">
        <v>72</v>
      </c>
      <c r="G19" s="1" t="s">
        <v>73</v>
      </c>
      <c r="H19" s="1"/>
      <c r="I19" s="1">
        <v>8</v>
      </c>
      <c r="J19">
        <v>5</v>
      </c>
      <c r="N19" s="1"/>
      <c r="O19" s="1"/>
      <c r="P19" s="1"/>
      <c r="Q19" s="1" t="s">
        <v>73</v>
      </c>
      <c r="R19" s="1" t="s">
        <v>73</v>
      </c>
      <c r="S19" s="1" t="s">
        <v>73</v>
      </c>
      <c r="T19" s="79"/>
      <c r="U19" s="79"/>
      <c r="V19" s="1"/>
      <c r="W19" s="1"/>
      <c r="X19" s="1"/>
      <c r="Y19" s="1"/>
      <c r="Z19" s="1" t="s">
        <v>73</v>
      </c>
      <c r="AA19" s="1" t="s">
        <v>73</v>
      </c>
      <c r="AC19" s="1">
        <v>2</v>
      </c>
      <c r="AE19" s="1"/>
      <c r="AF19" s="1"/>
      <c r="AG19">
        <v>2</v>
      </c>
      <c r="AK19" s="1" t="s">
        <v>73</v>
      </c>
      <c r="AL19" s="1" t="s">
        <v>72</v>
      </c>
      <c r="AM19">
        <v>6</v>
      </c>
      <c r="AN19" s="1" t="s">
        <v>73</v>
      </c>
      <c r="AP19" s="1" t="s">
        <v>73</v>
      </c>
      <c r="AR19" s="1" t="s">
        <v>73</v>
      </c>
      <c r="AT19" t="s">
        <v>73</v>
      </c>
      <c r="AW19" s="1">
        <v>25</v>
      </c>
      <c r="AX19" s="1">
        <v>8</v>
      </c>
      <c r="AY19" s="1" t="s">
        <v>73</v>
      </c>
      <c r="AZ19" s="1" t="s">
        <v>73</v>
      </c>
      <c r="BA19" s="126" t="s">
        <v>73</v>
      </c>
      <c r="BB19" s="1">
        <v>1977</v>
      </c>
      <c r="BC19" s="100">
        <v>45656.750740740739</v>
      </c>
      <c r="BD19" s="85">
        <v>45656.709074074075</v>
      </c>
      <c r="BE19" s="1" t="s">
        <v>73</v>
      </c>
      <c r="BF19" s="1" t="s">
        <v>73</v>
      </c>
      <c r="BG19" s="1" t="s">
        <v>73</v>
      </c>
      <c r="BH19" s="1" t="s">
        <v>73</v>
      </c>
      <c r="BI19" s="1" t="s">
        <v>73</v>
      </c>
      <c r="BJ19" s="1" t="s">
        <v>73</v>
      </c>
      <c r="BK19" s="1"/>
      <c r="BL19" s="1" t="s">
        <v>73</v>
      </c>
      <c r="BM19" s="1" t="s">
        <v>73</v>
      </c>
      <c r="BN19" s="1" t="s">
        <v>73</v>
      </c>
      <c r="BO19" s="1" t="s">
        <v>73</v>
      </c>
      <c r="BP19" s="1" t="s">
        <v>73</v>
      </c>
      <c r="BQ19" s="1" t="s">
        <v>73</v>
      </c>
      <c r="BR19" s="1"/>
      <c r="BS19" s="1" t="s">
        <v>73</v>
      </c>
      <c r="BT19" s="1" t="s">
        <v>73</v>
      </c>
      <c r="BU19" s="1" t="s">
        <v>73</v>
      </c>
      <c r="BV19" s="1" t="s">
        <v>73</v>
      </c>
      <c r="BW19" s="1"/>
      <c r="CB19"/>
      <c r="CC19"/>
    </row>
    <row r="20" spans="1:81" ht="16" x14ac:dyDescent="0.2">
      <c r="A20" t="s">
        <v>134</v>
      </c>
      <c r="B20" t="s">
        <v>345</v>
      </c>
      <c r="C20" t="s">
        <v>346</v>
      </c>
      <c r="D20" s="1" t="s">
        <v>73</v>
      </c>
      <c r="E20" s="1" t="s">
        <v>72</v>
      </c>
      <c r="F20" s="1" t="s">
        <v>73</v>
      </c>
      <c r="G20" s="1" t="s">
        <v>73</v>
      </c>
      <c r="H20" s="1"/>
      <c r="I20" s="1">
        <v>10</v>
      </c>
      <c r="L20">
        <v>4</v>
      </c>
      <c r="N20" s="1"/>
      <c r="O20" s="1"/>
      <c r="P20" s="1"/>
      <c r="Q20" s="1" t="s">
        <v>73</v>
      </c>
      <c r="R20" s="1" t="s">
        <v>73</v>
      </c>
      <c r="S20" s="1" t="s">
        <v>73</v>
      </c>
      <c r="T20" s="79">
        <v>1</v>
      </c>
      <c r="U20" s="79"/>
      <c r="V20" s="1"/>
      <c r="W20" s="1">
        <v>1</v>
      </c>
      <c r="X20" s="1"/>
      <c r="Y20" s="1"/>
      <c r="Z20" s="1" t="s">
        <v>73</v>
      </c>
      <c r="AA20" s="1" t="s">
        <v>73</v>
      </c>
      <c r="AC20" s="1">
        <v>4</v>
      </c>
      <c r="AE20" s="1"/>
      <c r="AF20" s="1"/>
      <c r="AG20">
        <v>4</v>
      </c>
      <c r="AK20" s="1" t="s">
        <v>72</v>
      </c>
      <c r="AL20" s="1" t="s">
        <v>72</v>
      </c>
      <c r="AM20">
        <v>6</v>
      </c>
      <c r="AN20" s="1" t="s">
        <v>72</v>
      </c>
      <c r="AO20">
        <v>6</v>
      </c>
      <c r="AP20" s="1" t="s">
        <v>73</v>
      </c>
      <c r="AR20" s="1" t="s">
        <v>72</v>
      </c>
      <c r="AS20">
        <v>6</v>
      </c>
      <c r="AT20" t="s">
        <v>72</v>
      </c>
      <c r="AU20">
        <v>1</v>
      </c>
      <c r="AV20">
        <v>1</v>
      </c>
      <c r="AW20" s="1">
        <v>65</v>
      </c>
      <c r="AX20" s="1">
        <v>12</v>
      </c>
      <c r="AY20" s="1" t="s">
        <v>72</v>
      </c>
      <c r="AZ20" s="1" t="s">
        <v>73</v>
      </c>
      <c r="BA20" s="126" t="s">
        <v>73</v>
      </c>
      <c r="BB20" s="1">
        <v>1973</v>
      </c>
      <c r="BC20" s="100">
        <v>45656.482511574075</v>
      </c>
      <c r="BD20" s="85">
        <v>45656.440844907411</v>
      </c>
      <c r="BE20" s="1" t="s">
        <v>73</v>
      </c>
      <c r="BF20" s="1" t="s">
        <v>73</v>
      </c>
      <c r="BG20" s="1" t="s">
        <v>73</v>
      </c>
      <c r="BH20" s="1" t="s">
        <v>73</v>
      </c>
      <c r="BI20" s="1" t="s">
        <v>73</v>
      </c>
      <c r="BJ20" s="1" t="s">
        <v>73</v>
      </c>
      <c r="BK20" s="1"/>
      <c r="BL20" s="1" t="s">
        <v>73</v>
      </c>
      <c r="BM20" s="1" t="s">
        <v>73</v>
      </c>
      <c r="BN20" s="1" t="s">
        <v>73</v>
      </c>
      <c r="BO20" s="1" t="s">
        <v>73</v>
      </c>
      <c r="BP20" s="1" t="s">
        <v>73</v>
      </c>
      <c r="BQ20" s="1" t="s">
        <v>73</v>
      </c>
      <c r="BR20" s="1"/>
      <c r="BS20" s="1" t="s">
        <v>73</v>
      </c>
      <c r="BT20" s="1" t="s">
        <v>73</v>
      </c>
      <c r="BU20" s="1" t="s">
        <v>73</v>
      </c>
      <c r="BV20" s="1" t="s">
        <v>73</v>
      </c>
      <c r="BW20" s="1"/>
      <c r="CB20"/>
      <c r="CC20"/>
    </row>
    <row r="21" spans="1:81" ht="16" x14ac:dyDescent="0.2">
      <c r="A21" t="s">
        <v>134</v>
      </c>
      <c r="B21" t="s">
        <v>316</v>
      </c>
      <c r="C21" t="s">
        <v>317</v>
      </c>
      <c r="D21" s="1" t="s">
        <v>73</v>
      </c>
      <c r="E21" s="1" t="s">
        <v>72</v>
      </c>
      <c r="F21" s="1" t="s">
        <v>73</v>
      </c>
      <c r="G21" s="1" t="s">
        <v>73</v>
      </c>
      <c r="H21" s="1"/>
      <c r="I21" s="1"/>
      <c r="L21">
        <v>3</v>
      </c>
      <c r="N21" s="1"/>
      <c r="O21" s="1"/>
      <c r="P21" s="1"/>
      <c r="Q21" s="1" t="s">
        <v>73</v>
      </c>
      <c r="R21" s="1" t="s">
        <v>73</v>
      </c>
      <c r="S21" s="1" t="s">
        <v>73</v>
      </c>
      <c r="T21" s="79"/>
      <c r="U21" s="79"/>
      <c r="V21" s="1"/>
      <c r="W21" s="1"/>
      <c r="X21" s="1"/>
      <c r="Y21" s="1"/>
      <c r="Z21" s="1" t="s">
        <v>73</v>
      </c>
      <c r="AA21" s="1" t="s">
        <v>73</v>
      </c>
      <c r="AC21" s="1"/>
      <c r="AE21" s="1"/>
      <c r="AF21" s="1"/>
      <c r="AK21" s="1" t="s">
        <v>73</v>
      </c>
      <c r="AL21" s="1" t="s">
        <v>72</v>
      </c>
      <c r="AM21">
        <v>5</v>
      </c>
      <c r="AN21" s="1" t="s">
        <v>72</v>
      </c>
      <c r="AO21">
        <v>5</v>
      </c>
      <c r="AP21" s="1" t="s">
        <v>73</v>
      </c>
      <c r="AR21" s="1" t="s">
        <v>72</v>
      </c>
      <c r="AS21">
        <v>5</v>
      </c>
      <c r="AT21" t="s">
        <v>73</v>
      </c>
      <c r="AW21" s="1">
        <v>44</v>
      </c>
      <c r="AX21" s="1">
        <v>5</v>
      </c>
      <c r="AY21" s="1" t="s">
        <v>73</v>
      </c>
      <c r="AZ21" s="1" t="s">
        <v>73</v>
      </c>
      <c r="BA21" s="126" t="s">
        <v>73</v>
      </c>
      <c r="BB21" s="1">
        <v>1958</v>
      </c>
      <c r="BC21" s="100">
        <v>45653.897569444445</v>
      </c>
      <c r="BD21" s="85">
        <v>45653.855902777781</v>
      </c>
      <c r="BE21" s="1" t="s">
        <v>73</v>
      </c>
      <c r="BF21" s="1" t="s">
        <v>73</v>
      </c>
      <c r="BG21" s="1" t="s">
        <v>73</v>
      </c>
      <c r="BH21" s="1" t="s">
        <v>73</v>
      </c>
      <c r="BI21" s="1" t="s">
        <v>73</v>
      </c>
      <c r="BJ21" s="1" t="s">
        <v>73</v>
      </c>
      <c r="BK21" s="1"/>
      <c r="BL21" s="1" t="s">
        <v>73</v>
      </c>
      <c r="BM21" s="1" t="s">
        <v>73</v>
      </c>
      <c r="BN21" s="1" t="s">
        <v>73</v>
      </c>
      <c r="BO21" s="1" t="s">
        <v>73</v>
      </c>
      <c r="BP21" s="1" t="s">
        <v>73</v>
      </c>
      <c r="BQ21" s="1" t="s">
        <v>73</v>
      </c>
      <c r="BR21" s="1"/>
      <c r="BS21" s="1" t="s">
        <v>73</v>
      </c>
      <c r="BT21" s="1" t="s">
        <v>73</v>
      </c>
      <c r="BU21" s="1" t="s">
        <v>73</v>
      </c>
      <c r="BV21" s="1" t="s">
        <v>73</v>
      </c>
      <c r="BW21" s="1"/>
      <c r="CB21"/>
      <c r="CC21"/>
    </row>
    <row r="22" spans="1:81" ht="16" x14ac:dyDescent="0.2">
      <c r="A22" t="s">
        <v>134</v>
      </c>
      <c r="B22" t="s">
        <v>318</v>
      </c>
      <c r="C22" t="s">
        <v>319</v>
      </c>
      <c r="D22" s="1" t="s">
        <v>73</v>
      </c>
      <c r="E22" s="1" t="s">
        <v>72</v>
      </c>
      <c r="F22" s="1" t="s">
        <v>72</v>
      </c>
      <c r="G22" s="1" t="s">
        <v>73</v>
      </c>
      <c r="H22" s="1"/>
      <c r="I22" s="1">
        <v>14</v>
      </c>
      <c r="J22">
        <v>8</v>
      </c>
      <c r="L22">
        <v>4</v>
      </c>
      <c r="N22" s="1">
        <v>13</v>
      </c>
      <c r="O22" s="1">
        <v>6</v>
      </c>
      <c r="P22" s="1"/>
      <c r="Q22" s="1" t="s">
        <v>73</v>
      </c>
      <c r="R22" s="1" t="s">
        <v>73</v>
      </c>
      <c r="S22" s="1" t="s">
        <v>73</v>
      </c>
      <c r="T22" s="79">
        <v>1</v>
      </c>
      <c r="U22" s="79">
        <v>2</v>
      </c>
      <c r="V22" s="1">
        <v>1</v>
      </c>
      <c r="W22" s="1">
        <v>1</v>
      </c>
      <c r="X22" s="1">
        <v>2</v>
      </c>
      <c r="Y22" s="1">
        <v>1</v>
      </c>
      <c r="Z22" s="1" t="s">
        <v>73</v>
      </c>
      <c r="AA22" s="1" t="s">
        <v>73</v>
      </c>
      <c r="AC22" s="1">
        <v>3</v>
      </c>
      <c r="AE22" s="1"/>
      <c r="AF22" s="1"/>
      <c r="AG22">
        <v>3</v>
      </c>
      <c r="AK22" s="1" t="s">
        <v>72</v>
      </c>
      <c r="AL22" s="1" t="s">
        <v>72</v>
      </c>
      <c r="AM22">
        <v>6</v>
      </c>
      <c r="AN22" s="1" t="s">
        <v>72</v>
      </c>
      <c r="AO22">
        <v>6</v>
      </c>
      <c r="AP22" s="1" t="s">
        <v>73</v>
      </c>
      <c r="AR22" s="1" t="s">
        <v>73</v>
      </c>
      <c r="AT22" t="s">
        <v>72</v>
      </c>
      <c r="AU22">
        <v>2</v>
      </c>
      <c r="AW22" s="1">
        <v>125</v>
      </c>
      <c r="AX22" s="1">
        <v>22</v>
      </c>
      <c r="AY22" s="1" t="s">
        <v>72</v>
      </c>
      <c r="AZ22" s="1" t="s">
        <v>72</v>
      </c>
      <c r="BA22" s="126" t="s">
        <v>73</v>
      </c>
      <c r="BB22" s="1">
        <v>1955</v>
      </c>
      <c r="BC22" s="100">
        <v>45653.878842592596</v>
      </c>
      <c r="BD22" s="85">
        <v>45653.837175925924</v>
      </c>
      <c r="BE22" s="1" t="s">
        <v>73</v>
      </c>
      <c r="BF22" s="1" t="s">
        <v>73</v>
      </c>
      <c r="BG22" s="1" t="s">
        <v>73</v>
      </c>
      <c r="BH22" s="1" t="s">
        <v>73</v>
      </c>
      <c r="BI22" s="1" t="s">
        <v>73</v>
      </c>
      <c r="BJ22" s="1" t="s">
        <v>73</v>
      </c>
      <c r="BK22" s="1"/>
      <c r="BL22" s="1" t="s">
        <v>73</v>
      </c>
      <c r="BM22" s="1" t="s">
        <v>73</v>
      </c>
      <c r="BN22" s="1" t="s">
        <v>73</v>
      </c>
      <c r="BO22" s="1" t="s">
        <v>73</v>
      </c>
      <c r="BP22" s="1" t="s">
        <v>73</v>
      </c>
      <c r="BQ22" s="1" t="s">
        <v>73</v>
      </c>
      <c r="BR22" s="1"/>
      <c r="BS22" s="1" t="s">
        <v>73</v>
      </c>
      <c r="BT22" s="1" t="s">
        <v>73</v>
      </c>
      <c r="BU22" s="1" t="s">
        <v>73</v>
      </c>
      <c r="BV22" s="1" t="s">
        <v>73</v>
      </c>
      <c r="BW22" s="1"/>
      <c r="CB22"/>
      <c r="CC22"/>
    </row>
    <row r="23" spans="1:81" ht="16" x14ac:dyDescent="0.2">
      <c r="A23" t="s">
        <v>134</v>
      </c>
      <c r="B23" t="s">
        <v>314</v>
      </c>
      <c r="C23" t="s">
        <v>315</v>
      </c>
      <c r="D23" s="1" t="s">
        <v>73</v>
      </c>
      <c r="E23" s="1" t="s">
        <v>72</v>
      </c>
      <c r="F23" s="1" t="s">
        <v>72</v>
      </c>
      <c r="G23" s="1" t="s">
        <v>73</v>
      </c>
      <c r="H23" s="1"/>
      <c r="I23" s="1">
        <v>10</v>
      </c>
      <c r="J23">
        <v>6</v>
      </c>
      <c r="L23">
        <v>6</v>
      </c>
      <c r="M23">
        <v>6</v>
      </c>
      <c r="N23" s="1"/>
      <c r="O23" s="1"/>
      <c r="P23" s="1"/>
      <c r="Q23" s="1" t="s">
        <v>73</v>
      </c>
      <c r="R23" s="1" t="s">
        <v>73</v>
      </c>
      <c r="S23" s="1" t="s">
        <v>73</v>
      </c>
      <c r="T23" s="79"/>
      <c r="U23" s="79"/>
      <c r="V23" s="1"/>
      <c r="W23" s="1"/>
      <c r="X23" s="1"/>
      <c r="Y23" s="1"/>
      <c r="Z23" s="1" t="s">
        <v>73</v>
      </c>
      <c r="AA23" s="1" t="s">
        <v>73</v>
      </c>
      <c r="AC23" s="1">
        <v>4</v>
      </c>
      <c r="AE23" s="1"/>
      <c r="AF23" s="1"/>
      <c r="AG23">
        <v>4</v>
      </c>
      <c r="AK23" s="1" t="s">
        <v>73</v>
      </c>
      <c r="AL23" s="1" t="s">
        <v>73</v>
      </c>
      <c r="AN23" s="1" t="s">
        <v>73</v>
      </c>
      <c r="AP23" s="1" t="s">
        <v>73</v>
      </c>
      <c r="AR23" s="1" t="s">
        <v>73</v>
      </c>
      <c r="AT23" t="s">
        <v>73</v>
      </c>
      <c r="AW23" s="1">
        <v>130</v>
      </c>
      <c r="AX23" s="1">
        <v>20</v>
      </c>
      <c r="AY23" s="1" t="s">
        <v>73</v>
      </c>
      <c r="AZ23" s="1" t="s">
        <v>73</v>
      </c>
      <c r="BA23" s="126" t="s">
        <v>73</v>
      </c>
      <c r="BB23" s="1">
        <v>1951</v>
      </c>
      <c r="BC23" s="100">
        <v>45653.861597222225</v>
      </c>
      <c r="BD23" s="85">
        <v>45653.819930555554</v>
      </c>
      <c r="BE23" s="1" t="s">
        <v>73</v>
      </c>
      <c r="BF23" s="1" t="s">
        <v>73</v>
      </c>
      <c r="BG23" s="1" t="s">
        <v>73</v>
      </c>
      <c r="BH23" s="1" t="s">
        <v>73</v>
      </c>
      <c r="BI23" s="1" t="s">
        <v>73</v>
      </c>
      <c r="BJ23" s="1" t="s">
        <v>73</v>
      </c>
      <c r="BK23" s="1"/>
      <c r="BL23" s="1" t="s">
        <v>73</v>
      </c>
      <c r="BM23" s="1" t="s">
        <v>73</v>
      </c>
      <c r="BN23" s="1" t="s">
        <v>73</v>
      </c>
      <c r="BO23" s="1" t="s">
        <v>73</v>
      </c>
      <c r="BP23" s="1" t="s">
        <v>73</v>
      </c>
      <c r="BQ23" s="1" t="s">
        <v>73</v>
      </c>
      <c r="BR23" s="1"/>
      <c r="BS23" s="1" t="s">
        <v>73</v>
      </c>
      <c r="BT23" s="1" t="s">
        <v>73</v>
      </c>
      <c r="BU23" s="1" t="s">
        <v>73</v>
      </c>
      <c r="BV23" s="1" t="s">
        <v>73</v>
      </c>
      <c r="BW23" s="1"/>
      <c r="CB23"/>
      <c r="CC23"/>
    </row>
    <row r="24" spans="1:81" ht="16" x14ac:dyDescent="0.2">
      <c r="A24" t="s">
        <v>134</v>
      </c>
      <c r="B24" t="s">
        <v>309</v>
      </c>
      <c r="C24" t="s">
        <v>310</v>
      </c>
      <c r="D24" s="1" t="s">
        <v>73</v>
      </c>
      <c r="E24" s="1" t="s">
        <v>72</v>
      </c>
      <c r="F24" s="1" t="s">
        <v>72</v>
      </c>
      <c r="G24" s="1" t="s">
        <v>73</v>
      </c>
      <c r="H24" s="1"/>
      <c r="I24" s="1">
        <v>14</v>
      </c>
      <c r="J24">
        <v>3</v>
      </c>
      <c r="N24" s="1">
        <v>14</v>
      </c>
      <c r="O24" s="1">
        <v>3</v>
      </c>
      <c r="P24" s="1"/>
      <c r="Q24" s="1" t="s">
        <v>73</v>
      </c>
      <c r="R24" s="1" t="s">
        <v>73</v>
      </c>
      <c r="S24" s="1" t="s">
        <v>73</v>
      </c>
      <c r="T24" s="79">
        <v>3</v>
      </c>
      <c r="U24" s="79">
        <v>2</v>
      </c>
      <c r="V24" s="1">
        <v>1</v>
      </c>
      <c r="W24" s="1">
        <v>2</v>
      </c>
      <c r="X24" s="1">
        <v>2</v>
      </c>
      <c r="Y24" s="1">
        <v>1</v>
      </c>
      <c r="Z24" s="1" t="s">
        <v>73</v>
      </c>
      <c r="AA24" s="1" t="s">
        <v>73</v>
      </c>
      <c r="AC24" s="1">
        <v>2</v>
      </c>
      <c r="AD24">
        <v>1</v>
      </c>
      <c r="AE24" s="1">
        <v>1</v>
      </c>
      <c r="AF24" s="1"/>
      <c r="AG24">
        <v>2</v>
      </c>
      <c r="AH24">
        <v>1</v>
      </c>
      <c r="AI24">
        <v>1</v>
      </c>
      <c r="AK24" s="1" t="s">
        <v>73</v>
      </c>
      <c r="AL24" s="1" t="s">
        <v>72</v>
      </c>
      <c r="AM24">
        <v>4</v>
      </c>
      <c r="AN24" s="1" t="s">
        <v>72</v>
      </c>
      <c r="AO24">
        <v>4</v>
      </c>
      <c r="AP24" s="1" t="s">
        <v>73</v>
      </c>
      <c r="AR24" s="1" t="s">
        <v>72</v>
      </c>
      <c r="AS24">
        <v>4</v>
      </c>
      <c r="AT24" t="s">
        <v>72</v>
      </c>
      <c r="AU24">
        <v>2</v>
      </c>
      <c r="AW24" s="1">
        <v>50</v>
      </c>
      <c r="AX24" s="1">
        <v>5</v>
      </c>
      <c r="AY24" s="1" t="s">
        <v>72</v>
      </c>
      <c r="AZ24" s="1" t="s">
        <v>73</v>
      </c>
      <c r="BA24" s="126" t="s">
        <v>73</v>
      </c>
      <c r="BB24" s="1">
        <v>1946</v>
      </c>
      <c r="BC24" s="100">
        <v>45653.780787037038</v>
      </c>
      <c r="BD24" s="85">
        <v>45653.739120370374</v>
      </c>
      <c r="BE24" s="1" t="s">
        <v>73</v>
      </c>
      <c r="BF24" s="1" t="s">
        <v>73</v>
      </c>
      <c r="BG24" s="1" t="s">
        <v>73</v>
      </c>
      <c r="BH24" s="1" t="s">
        <v>73</v>
      </c>
      <c r="BI24" s="1" t="s">
        <v>73</v>
      </c>
      <c r="BJ24" s="1" t="s">
        <v>73</v>
      </c>
      <c r="BK24" s="1"/>
      <c r="BL24" s="1" t="s">
        <v>73</v>
      </c>
      <c r="BM24" s="1" t="s">
        <v>73</v>
      </c>
      <c r="BN24" s="1" t="s">
        <v>73</v>
      </c>
      <c r="BO24" s="1" t="s">
        <v>73</v>
      </c>
      <c r="BP24" s="1" t="s">
        <v>73</v>
      </c>
      <c r="BQ24" s="1" t="s">
        <v>73</v>
      </c>
      <c r="BR24" s="1"/>
      <c r="BS24" s="1" t="s">
        <v>73</v>
      </c>
      <c r="BT24" s="1" t="s">
        <v>73</v>
      </c>
      <c r="BU24" s="1" t="s">
        <v>73</v>
      </c>
      <c r="BV24" s="1" t="s">
        <v>73</v>
      </c>
      <c r="BW24" s="1"/>
      <c r="CB24"/>
      <c r="CC24"/>
    </row>
    <row r="25" spans="1:81" ht="16" x14ac:dyDescent="0.2">
      <c r="A25" t="s">
        <v>134</v>
      </c>
      <c r="B25" t="s">
        <v>311</v>
      </c>
      <c r="C25" t="s">
        <v>312</v>
      </c>
      <c r="D25" s="1" t="s">
        <v>73</v>
      </c>
      <c r="E25" s="1" t="s">
        <v>72</v>
      </c>
      <c r="F25" s="1" t="s">
        <v>73</v>
      </c>
      <c r="G25" s="1" t="s">
        <v>73</v>
      </c>
      <c r="H25" s="1"/>
      <c r="I25" s="1"/>
      <c r="J25">
        <v>6</v>
      </c>
      <c r="L25">
        <v>10</v>
      </c>
      <c r="M25">
        <v>3</v>
      </c>
      <c r="N25" s="1"/>
      <c r="O25" s="1"/>
      <c r="P25" s="1"/>
      <c r="Q25" s="1" t="s">
        <v>73</v>
      </c>
      <c r="R25" s="1" t="s">
        <v>73</v>
      </c>
      <c r="S25" s="1" t="s">
        <v>73</v>
      </c>
      <c r="T25" s="79"/>
      <c r="U25" s="79"/>
      <c r="V25" s="1"/>
      <c r="W25" s="1"/>
      <c r="X25" s="1"/>
      <c r="Y25" s="1"/>
      <c r="Z25" s="1" t="s">
        <v>73</v>
      </c>
      <c r="AA25" s="1" t="s">
        <v>73</v>
      </c>
      <c r="AC25" s="1"/>
      <c r="AE25" s="1"/>
      <c r="AF25" s="1"/>
      <c r="AK25" s="1" t="s">
        <v>73</v>
      </c>
      <c r="AL25" s="1" t="s">
        <v>73</v>
      </c>
      <c r="AN25" s="1" t="s">
        <v>73</v>
      </c>
      <c r="AP25" s="1" t="s">
        <v>73</v>
      </c>
      <c r="AR25" s="1" t="s">
        <v>73</v>
      </c>
      <c r="AT25" t="s">
        <v>72</v>
      </c>
      <c r="AU25">
        <v>2</v>
      </c>
      <c r="AW25" s="1">
        <v>75</v>
      </c>
      <c r="AX25" s="1">
        <v>13</v>
      </c>
      <c r="AY25" s="1" t="s">
        <v>73</v>
      </c>
      <c r="AZ25" s="1" t="s">
        <v>72</v>
      </c>
      <c r="BA25" s="126" t="s">
        <v>73</v>
      </c>
      <c r="BB25" s="1">
        <v>1939</v>
      </c>
      <c r="BC25" s="100">
        <v>45653.433240740742</v>
      </c>
      <c r="BD25" s="85">
        <v>45653.391574074078</v>
      </c>
      <c r="BE25" s="1" t="s">
        <v>73</v>
      </c>
      <c r="BF25" s="1" t="s">
        <v>73</v>
      </c>
      <c r="BG25" s="1" t="s">
        <v>73</v>
      </c>
      <c r="BH25" s="1" t="s">
        <v>73</v>
      </c>
      <c r="BI25" s="1" t="s">
        <v>73</v>
      </c>
      <c r="BJ25" s="1" t="s">
        <v>73</v>
      </c>
      <c r="BK25" s="1"/>
      <c r="BL25" s="1" t="s">
        <v>73</v>
      </c>
      <c r="BM25" s="1" t="s">
        <v>73</v>
      </c>
      <c r="BN25" s="1" t="s">
        <v>73</v>
      </c>
      <c r="BO25" s="1" t="s">
        <v>73</v>
      </c>
      <c r="BP25" s="1" t="s">
        <v>73</v>
      </c>
      <c r="BQ25" s="1" t="s">
        <v>73</v>
      </c>
      <c r="BR25" s="1"/>
      <c r="BS25" s="1" t="s">
        <v>73</v>
      </c>
      <c r="BT25" s="1" t="s">
        <v>73</v>
      </c>
      <c r="BU25" s="1" t="s">
        <v>73</v>
      </c>
      <c r="BV25" s="1" t="s">
        <v>73</v>
      </c>
      <c r="BW25" s="1"/>
      <c r="CB25"/>
      <c r="CC25"/>
    </row>
    <row r="26" spans="1:81" ht="16" x14ac:dyDescent="0.2">
      <c r="A26" t="s">
        <v>134</v>
      </c>
      <c r="B26" t="s">
        <v>292</v>
      </c>
      <c r="C26" t="s">
        <v>293</v>
      </c>
      <c r="D26" s="1" t="s">
        <v>73</v>
      </c>
      <c r="E26" s="1" t="s">
        <v>72</v>
      </c>
      <c r="F26" s="1" t="s">
        <v>72</v>
      </c>
      <c r="G26" s="1" t="s">
        <v>73</v>
      </c>
      <c r="H26" s="1"/>
      <c r="I26" s="1">
        <v>14</v>
      </c>
      <c r="L26">
        <v>4</v>
      </c>
      <c r="N26" s="1"/>
      <c r="O26" s="1"/>
      <c r="P26" s="1"/>
      <c r="Q26" s="1" t="s">
        <v>73</v>
      </c>
      <c r="R26" s="1" t="s">
        <v>73</v>
      </c>
      <c r="S26" s="1" t="s">
        <v>73</v>
      </c>
      <c r="T26" s="79"/>
      <c r="U26" s="79"/>
      <c r="V26" s="1"/>
      <c r="W26" s="1"/>
      <c r="X26" s="1"/>
      <c r="Y26" s="1"/>
      <c r="Z26" s="1" t="s">
        <v>73</v>
      </c>
      <c r="AA26" s="1" t="s">
        <v>73</v>
      </c>
      <c r="AC26" s="1">
        <v>4</v>
      </c>
      <c r="AE26" s="1"/>
      <c r="AF26" s="1"/>
      <c r="AG26">
        <v>4</v>
      </c>
      <c r="AK26" s="1" t="s">
        <v>73</v>
      </c>
      <c r="AL26" s="1" t="s">
        <v>72</v>
      </c>
      <c r="AM26">
        <v>6</v>
      </c>
      <c r="AN26" s="1" t="s">
        <v>72</v>
      </c>
      <c r="AO26">
        <v>6</v>
      </c>
      <c r="AP26" s="1" t="s">
        <v>73</v>
      </c>
      <c r="AR26" s="1" t="s">
        <v>72</v>
      </c>
      <c r="AS26">
        <v>6</v>
      </c>
      <c r="AT26" t="s">
        <v>72</v>
      </c>
      <c r="AU26">
        <v>2</v>
      </c>
      <c r="AW26" s="1">
        <v>65</v>
      </c>
      <c r="AX26" s="1">
        <v>15</v>
      </c>
      <c r="AY26" s="1" t="s">
        <v>72</v>
      </c>
      <c r="AZ26" s="1" t="s">
        <v>73</v>
      </c>
      <c r="BA26" s="126" t="s">
        <v>73</v>
      </c>
      <c r="BB26" s="1">
        <v>1935</v>
      </c>
      <c r="BC26" s="100">
        <v>45653.008796296293</v>
      </c>
      <c r="BD26" s="85">
        <v>45652.967129629629</v>
      </c>
      <c r="BE26" s="1" t="s">
        <v>73</v>
      </c>
      <c r="BF26" s="1" t="s">
        <v>73</v>
      </c>
      <c r="BG26" s="1" t="s">
        <v>73</v>
      </c>
      <c r="BH26" s="1" t="s">
        <v>73</v>
      </c>
      <c r="BI26" s="1" t="s">
        <v>73</v>
      </c>
      <c r="BJ26" s="1" t="s">
        <v>73</v>
      </c>
      <c r="BK26" s="1"/>
      <c r="BL26" s="1" t="s">
        <v>73</v>
      </c>
      <c r="BM26" s="1" t="s">
        <v>73</v>
      </c>
      <c r="BN26" s="1" t="s">
        <v>73</v>
      </c>
      <c r="BO26" s="1" t="s">
        <v>73</v>
      </c>
      <c r="BP26" s="1" t="s">
        <v>73</v>
      </c>
      <c r="BQ26" s="1" t="s">
        <v>73</v>
      </c>
      <c r="BR26" s="1"/>
      <c r="BS26" s="1" t="s">
        <v>73</v>
      </c>
      <c r="BT26" s="1" t="s">
        <v>73</v>
      </c>
      <c r="BU26" s="1" t="s">
        <v>73</v>
      </c>
      <c r="BV26" s="1" t="s">
        <v>73</v>
      </c>
      <c r="BW26" s="1"/>
      <c r="CB26"/>
      <c r="CC26"/>
    </row>
    <row r="27" spans="1:81" ht="16" x14ac:dyDescent="0.2">
      <c r="A27" t="s">
        <v>134</v>
      </c>
      <c r="B27" t="s">
        <v>288</v>
      </c>
      <c r="C27" t="s">
        <v>289</v>
      </c>
      <c r="D27" s="1" t="s">
        <v>72</v>
      </c>
      <c r="E27" s="1" t="s">
        <v>73</v>
      </c>
      <c r="F27" s="1" t="s">
        <v>73</v>
      </c>
      <c r="G27" s="1" t="s">
        <v>73</v>
      </c>
      <c r="H27" s="1"/>
      <c r="I27" s="1"/>
      <c r="N27" s="1"/>
      <c r="O27" s="1"/>
      <c r="P27" s="1"/>
      <c r="Q27" s="1" t="s">
        <v>73</v>
      </c>
      <c r="R27" s="1" t="s">
        <v>73</v>
      </c>
      <c r="S27" s="1" t="s">
        <v>73</v>
      </c>
      <c r="T27" s="79"/>
      <c r="U27" s="79"/>
      <c r="V27" s="1"/>
      <c r="W27" s="1"/>
      <c r="X27" s="1"/>
      <c r="Y27" s="1"/>
      <c r="Z27" s="1" t="s">
        <v>73</v>
      </c>
      <c r="AA27" s="1" t="s">
        <v>73</v>
      </c>
      <c r="AC27" s="1"/>
      <c r="AE27" s="1"/>
      <c r="AF27" s="1"/>
      <c r="AK27" s="1" t="s">
        <v>73</v>
      </c>
      <c r="AL27" s="1" t="s">
        <v>73</v>
      </c>
      <c r="AN27" s="1" t="s">
        <v>73</v>
      </c>
      <c r="AP27" s="1" t="s">
        <v>73</v>
      </c>
      <c r="AR27" s="1" t="s">
        <v>73</v>
      </c>
      <c r="AT27" t="s">
        <v>73</v>
      </c>
      <c r="AW27" s="1">
        <v>10</v>
      </c>
      <c r="AX27" s="1">
        <v>0</v>
      </c>
      <c r="AY27" s="1" t="s">
        <v>73</v>
      </c>
      <c r="AZ27" s="1" t="s">
        <v>73</v>
      </c>
      <c r="BA27" s="126" t="s">
        <v>73</v>
      </c>
      <c r="BB27" s="1">
        <v>1929</v>
      </c>
      <c r="BC27" s="100">
        <v>45652.550474537034</v>
      </c>
      <c r="BD27" s="85">
        <v>45652.50880787037</v>
      </c>
      <c r="BE27" s="1" t="s">
        <v>73</v>
      </c>
      <c r="BF27" s="1" t="s">
        <v>73</v>
      </c>
      <c r="BG27" s="1" t="s">
        <v>73</v>
      </c>
      <c r="BH27" s="1" t="s">
        <v>73</v>
      </c>
      <c r="BI27" s="1" t="s">
        <v>73</v>
      </c>
      <c r="BJ27" s="1" t="s">
        <v>73</v>
      </c>
      <c r="BK27" s="1"/>
      <c r="BL27" s="1" t="s">
        <v>73</v>
      </c>
      <c r="BM27" s="1" t="s">
        <v>73</v>
      </c>
      <c r="BN27" s="1" t="s">
        <v>73</v>
      </c>
      <c r="BO27" s="1" t="s">
        <v>73</v>
      </c>
      <c r="BP27" s="1" t="s">
        <v>73</v>
      </c>
      <c r="BQ27" s="1" t="s">
        <v>73</v>
      </c>
      <c r="BR27" s="1"/>
      <c r="BS27" s="1" t="s">
        <v>73</v>
      </c>
      <c r="BT27" s="1" t="s">
        <v>73</v>
      </c>
      <c r="BU27" s="1" t="s">
        <v>73</v>
      </c>
      <c r="BV27" s="1" t="s">
        <v>73</v>
      </c>
      <c r="BW27" s="1"/>
      <c r="CB27"/>
      <c r="CC27"/>
    </row>
    <row r="28" spans="1:81" ht="16" x14ac:dyDescent="0.2">
      <c r="A28" t="s">
        <v>134</v>
      </c>
      <c r="B28" t="s">
        <v>283</v>
      </c>
      <c r="C28" t="s">
        <v>284</v>
      </c>
      <c r="D28" s="1" t="s">
        <v>73</v>
      </c>
      <c r="E28" s="1" t="s">
        <v>72</v>
      </c>
      <c r="F28" s="1" t="s">
        <v>73</v>
      </c>
      <c r="G28" s="1" t="s">
        <v>73</v>
      </c>
      <c r="H28" s="1"/>
      <c r="I28" s="1">
        <v>4</v>
      </c>
      <c r="N28" s="1"/>
      <c r="O28" s="1"/>
      <c r="P28" s="1"/>
      <c r="Q28" s="1" t="s">
        <v>73</v>
      </c>
      <c r="R28" s="1" t="s">
        <v>73</v>
      </c>
      <c r="S28" s="1" t="s">
        <v>73</v>
      </c>
      <c r="T28" s="79"/>
      <c r="U28" s="79"/>
      <c r="V28" s="1"/>
      <c r="W28" s="1"/>
      <c r="X28" s="1"/>
      <c r="Y28" s="1"/>
      <c r="Z28" s="1" t="s">
        <v>73</v>
      </c>
      <c r="AA28" s="1" t="s">
        <v>73</v>
      </c>
      <c r="AC28" s="1"/>
      <c r="AE28" s="1"/>
      <c r="AF28" s="1"/>
      <c r="AK28" s="1" t="s">
        <v>73</v>
      </c>
      <c r="AL28" s="1" t="s">
        <v>72</v>
      </c>
      <c r="AM28">
        <v>6</v>
      </c>
      <c r="AN28" s="1" t="s">
        <v>72</v>
      </c>
      <c r="AO28">
        <v>6</v>
      </c>
      <c r="AP28" s="1" t="s">
        <v>73</v>
      </c>
      <c r="AR28" s="1" t="s">
        <v>72</v>
      </c>
      <c r="AS28">
        <v>6</v>
      </c>
      <c r="AT28" t="s">
        <v>73</v>
      </c>
      <c r="AW28" s="1">
        <v>42</v>
      </c>
      <c r="AX28" s="1">
        <v>5</v>
      </c>
      <c r="AY28" s="1" t="s">
        <v>73</v>
      </c>
      <c r="AZ28" s="1" t="s">
        <v>73</v>
      </c>
      <c r="BA28" s="126" t="s">
        <v>73</v>
      </c>
      <c r="BB28" s="1">
        <v>1918</v>
      </c>
      <c r="BC28" s="100">
        <v>45650.73678240741</v>
      </c>
      <c r="BD28" s="85">
        <v>45650.695115740738</v>
      </c>
      <c r="BE28" s="1" t="s">
        <v>73</v>
      </c>
      <c r="BF28" s="1" t="s">
        <v>73</v>
      </c>
      <c r="BG28" s="1" t="s">
        <v>73</v>
      </c>
      <c r="BH28" s="1" t="s">
        <v>73</v>
      </c>
      <c r="BI28" s="1" t="s">
        <v>73</v>
      </c>
      <c r="BJ28" s="1" t="s">
        <v>73</v>
      </c>
      <c r="BK28" s="1"/>
      <c r="BL28" s="1" t="s">
        <v>73</v>
      </c>
      <c r="BM28" s="1" t="s">
        <v>73</v>
      </c>
      <c r="BN28" s="1" t="s">
        <v>73</v>
      </c>
      <c r="BO28" s="1" t="s">
        <v>73</v>
      </c>
      <c r="BP28" s="1" t="s">
        <v>73</v>
      </c>
      <c r="BQ28" s="1" t="s">
        <v>73</v>
      </c>
      <c r="BR28" s="1"/>
      <c r="BS28" s="1" t="s">
        <v>73</v>
      </c>
      <c r="BT28" s="1" t="s">
        <v>73</v>
      </c>
      <c r="BU28" s="1" t="s">
        <v>73</v>
      </c>
      <c r="BV28" s="1" t="s">
        <v>73</v>
      </c>
      <c r="BW28" s="1"/>
      <c r="CB28"/>
      <c r="CC28"/>
    </row>
    <row r="29" spans="1:81" ht="16" x14ac:dyDescent="0.2">
      <c r="A29" t="s">
        <v>134</v>
      </c>
      <c r="B29" t="s">
        <v>269</v>
      </c>
      <c r="C29" t="s">
        <v>270</v>
      </c>
      <c r="D29" s="1" t="s">
        <v>73</v>
      </c>
      <c r="E29" s="1" t="s">
        <v>72</v>
      </c>
      <c r="F29" s="1" t="s">
        <v>73</v>
      </c>
      <c r="G29" s="1" t="s">
        <v>73</v>
      </c>
      <c r="H29" s="1"/>
      <c r="I29" s="1"/>
      <c r="J29">
        <v>5</v>
      </c>
      <c r="N29" s="1"/>
      <c r="O29" s="1"/>
      <c r="P29" s="1"/>
      <c r="Q29" s="1" t="s">
        <v>73</v>
      </c>
      <c r="R29" s="1" t="s">
        <v>73</v>
      </c>
      <c r="S29" s="1" t="s">
        <v>73</v>
      </c>
      <c r="T29" s="79"/>
      <c r="U29" s="79"/>
      <c r="V29" s="1"/>
      <c r="W29" s="1"/>
      <c r="X29" s="1"/>
      <c r="Y29" s="1"/>
      <c r="Z29" s="1" t="s">
        <v>73</v>
      </c>
      <c r="AA29" s="1" t="s">
        <v>73</v>
      </c>
      <c r="AC29" s="1">
        <v>5</v>
      </c>
      <c r="AE29" s="1">
        <v>2</v>
      </c>
      <c r="AF29" s="1"/>
      <c r="AG29">
        <v>5</v>
      </c>
      <c r="AI29">
        <v>2</v>
      </c>
      <c r="AK29" s="1" t="s">
        <v>73</v>
      </c>
      <c r="AL29" s="1" t="s">
        <v>72</v>
      </c>
      <c r="AM29">
        <v>4</v>
      </c>
      <c r="AN29" s="1" t="s">
        <v>72</v>
      </c>
      <c r="AO29">
        <v>2</v>
      </c>
      <c r="AP29" s="1" t="s">
        <v>73</v>
      </c>
      <c r="AR29" s="1" t="s">
        <v>72</v>
      </c>
      <c r="AS29">
        <v>4</v>
      </c>
      <c r="AT29" t="s">
        <v>73</v>
      </c>
      <c r="AW29" s="1">
        <v>50</v>
      </c>
      <c r="AX29" s="1">
        <v>10</v>
      </c>
      <c r="AY29" s="1" t="s">
        <v>73</v>
      </c>
      <c r="AZ29" s="1" t="s">
        <v>73</v>
      </c>
      <c r="BA29" s="126" t="s">
        <v>73</v>
      </c>
      <c r="BB29" s="1">
        <v>1907</v>
      </c>
      <c r="BC29" s="100">
        <v>45649.605740740742</v>
      </c>
      <c r="BD29" s="85">
        <v>45649.564074074071</v>
      </c>
      <c r="BE29" s="1" t="s">
        <v>73</v>
      </c>
      <c r="BF29" s="1" t="s">
        <v>73</v>
      </c>
      <c r="BG29" s="1" t="s">
        <v>73</v>
      </c>
      <c r="BH29" s="1" t="s">
        <v>73</v>
      </c>
      <c r="BI29" s="1" t="s">
        <v>73</v>
      </c>
      <c r="BJ29" s="1" t="s">
        <v>73</v>
      </c>
      <c r="BK29" s="1"/>
      <c r="BL29" s="1" t="s">
        <v>73</v>
      </c>
      <c r="BM29" s="1" t="s">
        <v>73</v>
      </c>
      <c r="BN29" s="1" t="s">
        <v>73</v>
      </c>
      <c r="BO29" s="1" t="s">
        <v>73</v>
      </c>
      <c r="BP29" s="1" t="s">
        <v>73</v>
      </c>
      <c r="BQ29" s="1" t="s">
        <v>73</v>
      </c>
      <c r="BR29" s="1"/>
      <c r="BS29" s="1" t="s">
        <v>73</v>
      </c>
      <c r="BT29" s="1" t="s">
        <v>73</v>
      </c>
      <c r="BU29" s="1" t="s">
        <v>73</v>
      </c>
      <c r="BV29" s="1" t="s">
        <v>73</v>
      </c>
      <c r="BW29" s="1"/>
      <c r="CB29"/>
      <c r="CC29"/>
    </row>
    <row r="30" spans="1:81" ht="16" x14ac:dyDescent="0.2">
      <c r="A30" t="s">
        <v>134</v>
      </c>
      <c r="B30" t="s">
        <v>234</v>
      </c>
      <c r="C30" t="s">
        <v>235</v>
      </c>
      <c r="D30" s="1" t="s">
        <v>73</v>
      </c>
      <c r="E30" s="1" t="s">
        <v>72</v>
      </c>
      <c r="F30" s="1" t="s">
        <v>73</v>
      </c>
      <c r="G30" s="1" t="s">
        <v>73</v>
      </c>
      <c r="H30" s="1"/>
      <c r="I30" s="1">
        <v>16</v>
      </c>
      <c r="N30" s="1"/>
      <c r="O30" s="1"/>
      <c r="P30" s="1"/>
      <c r="Q30" s="1" t="s">
        <v>73</v>
      </c>
      <c r="R30" s="1" t="s">
        <v>73</v>
      </c>
      <c r="S30" s="1" t="s">
        <v>73</v>
      </c>
      <c r="T30" s="79"/>
      <c r="U30" s="79"/>
      <c r="V30" s="1"/>
      <c r="W30" s="1"/>
      <c r="X30" s="1"/>
      <c r="Y30" s="1"/>
      <c r="Z30" s="1" t="s">
        <v>73</v>
      </c>
      <c r="AA30" s="1" t="s">
        <v>73</v>
      </c>
      <c r="AC30" s="1">
        <v>5</v>
      </c>
      <c r="AE30" s="1"/>
      <c r="AF30" s="1"/>
      <c r="AG30">
        <v>5</v>
      </c>
      <c r="AK30" s="1" t="s">
        <v>73</v>
      </c>
      <c r="AL30" s="1" t="s">
        <v>72</v>
      </c>
      <c r="AM30">
        <v>5</v>
      </c>
      <c r="AN30" s="1" t="s">
        <v>72</v>
      </c>
      <c r="AO30">
        <v>5</v>
      </c>
      <c r="AP30" s="1" t="s">
        <v>73</v>
      </c>
      <c r="AR30" s="1" t="s">
        <v>72</v>
      </c>
      <c r="AS30">
        <v>5</v>
      </c>
      <c r="AT30" t="s">
        <v>73</v>
      </c>
      <c r="AW30" s="1">
        <v>100</v>
      </c>
      <c r="AX30" s="1">
        <v>8</v>
      </c>
      <c r="AY30" s="1" t="s">
        <v>72</v>
      </c>
      <c r="AZ30" s="1" t="s">
        <v>72</v>
      </c>
      <c r="BA30" s="126" t="s">
        <v>73</v>
      </c>
      <c r="BB30" s="1">
        <v>1876</v>
      </c>
      <c r="BC30" s="100">
        <v>45646.477731481478</v>
      </c>
      <c r="BD30" s="85">
        <v>45646.436064814814</v>
      </c>
      <c r="BE30" s="1" t="s">
        <v>73</v>
      </c>
      <c r="BF30" s="1" t="s">
        <v>73</v>
      </c>
      <c r="BG30" s="1" t="s">
        <v>73</v>
      </c>
      <c r="BH30" s="1" t="s">
        <v>73</v>
      </c>
      <c r="BI30" s="1" t="s">
        <v>73</v>
      </c>
      <c r="BJ30" s="1" t="s">
        <v>73</v>
      </c>
      <c r="BK30" s="1"/>
      <c r="BL30" s="1" t="s">
        <v>73</v>
      </c>
      <c r="BM30" s="1" t="s">
        <v>73</v>
      </c>
      <c r="BN30" s="1" t="s">
        <v>73</v>
      </c>
      <c r="BO30" s="1" t="s">
        <v>73</v>
      </c>
      <c r="BP30" s="1" t="s">
        <v>73</v>
      </c>
      <c r="BQ30" s="1" t="s">
        <v>73</v>
      </c>
      <c r="BR30" s="1"/>
      <c r="BS30" s="1" t="s">
        <v>73</v>
      </c>
      <c r="BT30" s="1" t="s">
        <v>73</v>
      </c>
      <c r="BU30" s="1" t="s">
        <v>73</v>
      </c>
      <c r="BV30" s="1" t="s">
        <v>73</v>
      </c>
      <c r="BW30" s="1"/>
      <c r="CB30"/>
      <c r="CC30"/>
    </row>
    <row r="31" spans="1:81" ht="16" x14ac:dyDescent="0.2">
      <c r="A31" t="s">
        <v>134</v>
      </c>
      <c r="B31" t="s">
        <v>224</v>
      </c>
      <c r="C31" t="s">
        <v>225</v>
      </c>
      <c r="D31" s="1" t="s">
        <v>73</v>
      </c>
      <c r="E31" s="1" t="s">
        <v>72</v>
      </c>
      <c r="F31" s="1" t="s">
        <v>73</v>
      </c>
      <c r="G31" s="1" t="s">
        <v>73</v>
      </c>
      <c r="H31" s="1"/>
      <c r="I31" s="1"/>
      <c r="N31" s="1"/>
      <c r="O31" s="1"/>
      <c r="P31" s="1"/>
      <c r="Q31" s="1" t="s">
        <v>73</v>
      </c>
      <c r="R31" s="1" t="s">
        <v>73</v>
      </c>
      <c r="S31" s="1" t="s">
        <v>73</v>
      </c>
      <c r="T31" s="79"/>
      <c r="U31" s="79"/>
      <c r="V31" s="1"/>
      <c r="W31" s="1"/>
      <c r="X31" s="1"/>
      <c r="Y31" s="1"/>
      <c r="Z31" s="1" t="s">
        <v>73</v>
      </c>
      <c r="AA31" s="1" t="s">
        <v>73</v>
      </c>
      <c r="AC31" s="1"/>
      <c r="AE31" s="1"/>
      <c r="AF31" s="1"/>
      <c r="AK31" s="1" t="s">
        <v>73</v>
      </c>
      <c r="AL31" s="1" t="s">
        <v>73</v>
      </c>
      <c r="AN31" s="1" t="s">
        <v>73</v>
      </c>
      <c r="AP31" s="1" t="s">
        <v>73</v>
      </c>
      <c r="AR31" s="1" t="s">
        <v>73</v>
      </c>
      <c r="AT31" t="s">
        <v>73</v>
      </c>
      <c r="AW31" s="1">
        <v>50</v>
      </c>
      <c r="AX31" s="1">
        <v>6</v>
      </c>
      <c r="AY31" s="1" t="s">
        <v>73</v>
      </c>
      <c r="AZ31" s="1" t="s">
        <v>72</v>
      </c>
      <c r="BA31" s="126" t="s">
        <v>73</v>
      </c>
      <c r="BB31" s="1">
        <v>1863</v>
      </c>
      <c r="BC31" s="100">
        <v>45644.607523148145</v>
      </c>
      <c r="BD31" s="85">
        <v>45644.56585648148</v>
      </c>
      <c r="BE31" s="1" t="s">
        <v>73</v>
      </c>
      <c r="BF31" s="1" t="s">
        <v>73</v>
      </c>
      <c r="BG31" s="1" t="s">
        <v>73</v>
      </c>
      <c r="BH31" s="1" t="s">
        <v>73</v>
      </c>
      <c r="BI31" s="1" t="s">
        <v>73</v>
      </c>
      <c r="BJ31" s="1" t="s">
        <v>73</v>
      </c>
      <c r="BK31" s="1"/>
      <c r="BL31" s="1" t="s">
        <v>73</v>
      </c>
      <c r="BM31" s="1" t="s">
        <v>73</v>
      </c>
      <c r="BN31" s="1" t="s">
        <v>73</v>
      </c>
      <c r="BO31" s="1" t="s">
        <v>73</v>
      </c>
      <c r="BP31" s="1" t="s">
        <v>73</v>
      </c>
      <c r="BQ31" s="1" t="s">
        <v>73</v>
      </c>
      <c r="BR31" s="1"/>
      <c r="BS31" s="1" t="s">
        <v>73</v>
      </c>
      <c r="BT31" s="1" t="s">
        <v>73</v>
      </c>
      <c r="BU31" s="1" t="s">
        <v>73</v>
      </c>
      <c r="BV31" s="1" t="s">
        <v>73</v>
      </c>
      <c r="BW31" s="1"/>
      <c r="CB31"/>
      <c r="CC31"/>
    </row>
    <row r="32" spans="1:81" ht="16" x14ac:dyDescent="0.2">
      <c r="A32" t="s">
        <v>134</v>
      </c>
      <c r="B32" t="s">
        <v>205</v>
      </c>
      <c r="C32" t="s">
        <v>206</v>
      </c>
      <c r="D32" s="1" t="s">
        <v>73</v>
      </c>
      <c r="E32" s="1" t="s">
        <v>72</v>
      </c>
      <c r="F32" s="1" t="s">
        <v>73</v>
      </c>
      <c r="G32" s="1" t="s">
        <v>73</v>
      </c>
      <c r="H32" s="1"/>
      <c r="I32" s="1">
        <v>6</v>
      </c>
      <c r="J32">
        <v>6</v>
      </c>
      <c r="L32">
        <v>4</v>
      </c>
      <c r="N32" s="1"/>
      <c r="O32" s="1"/>
      <c r="P32" s="1"/>
      <c r="Q32" s="1" t="s">
        <v>73</v>
      </c>
      <c r="R32" s="1" t="s">
        <v>73</v>
      </c>
      <c r="S32" s="1" t="s">
        <v>73</v>
      </c>
      <c r="T32" s="79"/>
      <c r="U32" s="79"/>
      <c r="V32" s="1"/>
      <c r="W32" s="1"/>
      <c r="X32" s="1"/>
      <c r="Y32" s="1"/>
      <c r="Z32" s="1" t="s">
        <v>73</v>
      </c>
      <c r="AA32" s="1" t="s">
        <v>73</v>
      </c>
      <c r="AC32" s="1"/>
      <c r="AE32" s="1"/>
      <c r="AF32" s="1"/>
      <c r="AK32" s="1" t="s">
        <v>73</v>
      </c>
      <c r="AL32" s="1" t="s">
        <v>72</v>
      </c>
      <c r="AM32">
        <v>6</v>
      </c>
      <c r="AN32" s="1" t="s">
        <v>72</v>
      </c>
      <c r="AO32">
        <v>6</v>
      </c>
      <c r="AP32" s="1" t="s">
        <v>73</v>
      </c>
      <c r="AR32" s="1" t="s">
        <v>72</v>
      </c>
      <c r="AS32">
        <v>6</v>
      </c>
      <c r="AT32" t="s">
        <v>72</v>
      </c>
      <c r="AU32">
        <v>2</v>
      </c>
      <c r="AW32" s="1">
        <v>100</v>
      </c>
      <c r="AX32" s="1">
        <v>8</v>
      </c>
      <c r="AY32" s="1" t="s">
        <v>72</v>
      </c>
      <c r="AZ32" s="1" t="s">
        <v>72</v>
      </c>
      <c r="BA32" s="126" t="s">
        <v>73</v>
      </c>
      <c r="BB32" s="1">
        <v>1860</v>
      </c>
      <c r="BC32" s="100">
        <v>45644.473587962966</v>
      </c>
      <c r="BD32" s="85">
        <v>45644.431921296295</v>
      </c>
      <c r="BE32" s="1" t="s">
        <v>73</v>
      </c>
      <c r="BF32" s="1" t="s">
        <v>73</v>
      </c>
      <c r="BG32" s="1" t="s">
        <v>73</v>
      </c>
      <c r="BH32" s="1" t="s">
        <v>73</v>
      </c>
      <c r="BI32" s="1" t="s">
        <v>73</v>
      </c>
      <c r="BJ32" s="1" t="s">
        <v>73</v>
      </c>
      <c r="BK32" s="1"/>
      <c r="BL32" s="1" t="s">
        <v>73</v>
      </c>
      <c r="BM32" s="1" t="s">
        <v>73</v>
      </c>
      <c r="BN32" s="1" t="s">
        <v>73</v>
      </c>
      <c r="BO32" s="1" t="s">
        <v>73</v>
      </c>
      <c r="BP32" s="1" t="s">
        <v>73</v>
      </c>
      <c r="BQ32" s="1" t="s">
        <v>73</v>
      </c>
      <c r="BR32" s="1"/>
      <c r="BS32" s="1" t="s">
        <v>73</v>
      </c>
      <c r="BT32" s="1" t="s">
        <v>73</v>
      </c>
      <c r="BU32" s="1" t="s">
        <v>73</v>
      </c>
      <c r="BV32" s="1" t="s">
        <v>73</v>
      </c>
      <c r="BW32" s="1"/>
      <c r="CB32"/>
      <c r="CC32"/>
    </row>
    <row r="33" spans="1:81" ht="16" x14ac:dyDescent="0.2">
      <c r="A33" t="s">
        <v>134</v>
      </c>
      <c r="B33" t="s">
        <v>207</v>
      </c>
      <c r="C33" t="s">
        <v>236</v>
      </c>
      <c r="D33" s="1" t="s">
        <v>73</v>
      </c>
      <c r="E33" s="1" t="s">
        <v>72</v>
      </c>
      <c r="F33" s="1" t="s">
        <v>72</v>
      </c>
      <c r="G33" s="1" t="s">
        <v>73</v>
      </c>
      <c r="H33" s="1"/>
      <c r="I33" s="1">
        <v>7</v>
      </c>
      <c r="N33" s="1"/>
      <c r="O33" s="1"/>
      <c r="P33" s="1"/>
      <c r="Q33" s="1" t="s">
        <v>73</v>
      </c>
      <c r="R33" s="1" t="s">
        <v>73</v>
      </c>
      <c r="S33" s="1" t="s">
        <v>73</v>
      </c>
      <c r="T33" s="79"/>
      <c r="U33" s="79"/>
      <c r="V33" s="1"/>
      <c r="W33" s="1"/>
      <c r="X33" s="1"/>
      <c r="Y33" s="1"/>
      <c r="Z33" s="1" t="s">
        <v>73</v>
      </c>
      <c r="AA33" s="1" t="s">
        <v>73</v>
      </c>
      <c r="AC33" s="1"/>
      <c r="AE33" s="1"/>
      <c r="AF33" s="1"/>
      <c r="AK33" s="1" t="s">
        <v>72</v>
      </c>
      <c r="AL33" s="1" t="s">
        <v>72</v>
      </c>
      <c r="AM33">
        <v>6</v>
      </c>
      <c r="AN33" s="1" t="s">
        <v>72</v>
      </c>
      <c r="AO33">
        <v>6</v>
      </c>
      <c r="AP33" s="1" t="s">
        <v>73</v>
      </c>
      <c r="AR33" s="1" t="s">
        <v>72</v>
      </c>
      <c r="AS33">
        <v>6</v>
      </c>
      <c r="AT33" t="s">
        <v>73</v>
      </c>
      <c r="AW33" s="1">
        <v>57</v>
      </c>
      <c r="AX33" s="1">
        <v>2</v>
      </c>
      <c r="AY33" s="1" t="s">
        <v>73</v>
      </c>
      <c r="AZ33" s="1" t="s">
        <v>73</v>
      </c>
      <c r="BA33" s="126" t="s">
        <v>73</v>
      </c>
      <c r="BB33" s="1">
        <v>1856</v>
      </c>
      <c r="BC33" s="100">
        <v>45643.504120370373</v>
      </c>
      <c r="BD33" s="85">
        <v>45646.44630787037</v>
      </c>
      <c r="BE33" s="1" t="s">
        <v>73</v>
      </c>
      <c r="BF33" s="1" t="s">
        <v>73</v>
      </c>
      <c r="BG33" s="1" t="s">
        <v>73</v>
      </c>
      <c r="BH33" s="1" t="s">
        <v>73</v>
      </c>
      <c r="BI33" s="1" t="s">
        <v>73</v>
      </c>
      <c r="BJ33" s="1" t="s">
        <v>73</v>
      </c>
      <c r="BK33" s="1"/>
      <c r="BL33" s="1" t="s">
        <v>73</v>
      </c>
      <c r="BM33" s="1" t="s">
        <v>73</v>
      </c>
      <c r="BN33" s="1" t="s">
        <v>73</v>
      </c>
      <c r="BO33" s="1" t="s">
        <v>73</v>
      </c>
      <c r="BP33" s="1" t="s">
        <v>73</v>
      </c>
      <c r="BQ33" s="1" t="s">
        <v>73</v>
      </c>
      <c r="BR33" s="1"/>
      <c r="BS33" s="1" t="s">
        <v>73</v>
      </c>
      <c r="BT33" s="1" t="s">
        <v>73</v>
      </c>
      <c r="BU33" s="1" t="s">
        <v>73</v>
      </c>
      <c r="BV33" s="1" t="s">
        <v>73</v>
      </c>
      <c r="BW33" s="1"/>
      <c r="CB33"/>
      <c r="CC33"/>
    </row>
    <row r="34" spans="1:81" ht="16" x14ac:dyDescent="0.2">
      <c r="A34" t="s">
        <v>134</v>
      </c>
      <c r="B34" t="s">
        <v>208</v>
      </c>
      <c r="C34" t="s">
        <v>209</v>
      </c>
      <c r="D34" s="1" t="s">
        <v>73</v>
      </c>
      <c r="E34" s="1" t="s">
        <v>72</v>
      </c>
      <c r="F34" s="1" t="s">
        <v>72</v>
      </c>
      <c r="G34" s="1" t="s">
        <v>73</v>
      </c>
      <c r="H34" s="1"/>
      <c r="I34" s="1">
        <v>8</v>
      </c>
      <c r="J34">
        <v>10</v>
      </c>
      <c r="L34">
        <v>4</v>
      </c>
      <c r="M34">
        <v>4</v>
      </c>
      <c r="N34" s="1"/>
      <c r="O34" s="1"/>
      <c r="P34" s="1"/>
      <c r="Q34" s="1" t="s">
        <v>73</v>
      </c>
      <c r="R34" s="1" t="s">
        <v>73</v>
      </c>
      <c r="S34" s="1" t="s">
        <v>73</v>
      </c>
      <c r="T34" s="79"/>
      <c r="U34" s="79"/>
      <c r="V34" s="1"/>
      <c r="W34" s="1"/>
      <c r="X34" s="1"/>
      <c r="Y34" s="1"/>
      <c r="Z34" s="1" t="s">
        <v>73</v>
      </c>
      <c r="AA34" s="1" t="s">
        <v>73</v>
      </c>
      <c r="AC34" s="1"/>
      <c r="AE34" s="1"/>
      <c r="AF34" s="1"/>
      <c r="AK34" s="1" t="s">
        <v>73</v>
      </c>
      <c r="AL34" s="1" t="s">
        <v>72</v>
      </c>
      <c r="AM34">
        <v>6</v>
      </c>
      <c r="AN34" s="1" t="s">
        <v>72</v>
      </c>
      <c r="AO34">
        <v>6</v>
      </c>
      <c r="AP34" s="1" t="s">
        <v>73</v>
      </c>
      <c r="AR34" s="1" t="s">
        <v>72</v>
      </c>
      <c r="AS34">
        <v>6</v>
      </c>
      <c r="AT34" t="s">
        <v>73</v>
      </c>
      <c r="AW34" s="1">
        <v>60</v>
      </c>
      <c r="AX34" s="1">
        <v>18</v>
      </c>
      <c r="AY34" s="1" t="s">
        <v>73</v>
      </c>
      <c r="AZ34" s="1" t="s">
        <v>73</v>
      </c>
      <c r="BA34" s="126" t="s">
        <v>73</v>
      </c>
      <c r="BB34" s="1">
        <v>1850</v>
      </c>
      <c r="BC34" s="100">
        <v>45642.834224537037</v>
      </c>
      <c r="BD34" s="85">
        <v>45642.792557870373</v>
      </c>
      <c r="BE34" s="1" t="s">
        <v>73</v>
      </c>
      <c r="BF34" s="1" t="s">
        <v>73</v>
      </c>
      <c r="BG34" s="1" t="s">
        <v>73</v>
      </c>
      <c r="BH34" s="1" t="s">
        <v>73</v>
      </c>
      <c r="BI34" s="1" t="s">
        <v>73</v>
      </c>
      <c r="BJ34" s="1" t="s">
        <v>73</v>
      </c>
      <c r="BK34" s="1"/>
      <c r="BL34" s="1" t="s">
        <v>73</v>
      </c>
      <c r="BM34" s="1" t="s">
        <v>73</v>
      </c>
      <c r="BN34" s="1" t="s">
        <v>73</v>
      </c>
      <c r="BO34" s="1" t="s">
        <v>73</v>
      </c>
      <c r="BP34" s="1" t="s">
        <v>73</v>
      </c>
      <c r="BQ34" s="1" t="s">
        <v>73</v>
      </c>
      <c r="BR34" s="1"/>
      <c r="BS34" s="1" t="s">
        <v>73</v>
      </c>
      <c r="BT34" s="1" t="s">
        <v>73</v>
      </c>
      <c r="BU34" s="1" t="s">
        <v>73</v>
      </c>
      <c r="BV34" s="1" t="s">
        <v>73</v>
      </c>
      <c r="BW34" s="1"/>
      <c r="CB34"/>
      <c r="CC34"/>
    </row>
    <row r="35" spans="1:81" ht="16" x14ac:dyDescent="0.2">
      <c r="A35" t="s">
        <v>134</v>
      </c>
      <c r="B35" t="s">
        <v>210</v>
      </c>
      <c r="C35" t="s">
        <v>211</v>
      </c>
      <c r="D35" s="1" t="s">
        <v>73</v>
      </c>
      <c r="E35" s="1" t="s">
        <v>72</v>
      </c>
      <c r="F35" s="1" t="s">
        <v>72</v>
      </c>
      <c r="G35" s="1" t="s">
        <v>73</v>
      </c>
      <c r="H35" s="1"/>
      <c r="I35" s="1">
        <v>5</v>
      </c>
      <c r="J35">
        <v>3</v>
      </c>
      <c r="N35" s="1">
        <v>4</v>
      </c>
      <c r="O35" s="1"/>
      <c r="P35" s="1"/>
      <c r="Q35" s="1" t="s">
        <v>73</v>
      </c>
      <c r="R35" s="1" t="s">
        <v>73</v>
      </c>
      <c r="S35" s="1" t="s">
        <v>73</v>
      </c>
      <c r="T35" s="79">
        <v>3</v>
      </c>
      <c r="U35" s="79">
        <v>1</v>
      </c>
      <c r="V35" s="1"/>
      <c r="W35" s="1">
        <v>3</v>
      </c>
      <c r="X35" s="1">
        <v>1</v>
      </c>
      <c r="Y35" s="1"/>
      <c r="Z35" s="1" t="s">
        <v>73</v>
      </c>
      <c r="AA35" s="1" t="s">
        <v>73</v>
      </c>
      <c r="AC35" s="1"/>
      <c r="AE35" s="1"/>
      <c r="AF35" s="1"/>
      <c r="AK35" s="1" t="s">
        <v>72</v>
      </c>
      <c r="AL35" s="1" t="s">
        <v>73</v>
      </c>
      <c r="AN35" s="1" t="s">
        <v>73</v>
      </c>
      <c r="AP35" s="1" t="s">
        <v>73</v>
      </c>
      <c r="AR35" s="1" t="s">
        <v>73</v>
      </c>
      <c r="AT35" t="s">
        <v>73</v>
      </c>
      <c r="AW35" s="1">
        <v>32</v>
      </c>
      <c r="AX35" s="1">
        <v>7</v>
      </c>
      <c r="AY35" s="1" t="s">
        <v>73</v>
      </c>
      <c r="AZ35" s="1" t="s">
        <v>73</v>
      </c>
      <c r="BA35" s="126" t="s">
        <v>73</v>
      </c>
      <c r="BB35" s="1">
        <v>1846</v>
      </c>
      <c r="BC35" s="100">
        <v>45642.806666666664</v>
      </c>
      <c r="BD35" s="85">
        <v>45642.764999999999</v>
      </c>
      <c r="BE35" s="1" t="s">
        <v>73</v>
      </c>
      <c r="BF35" s="1" t="s">
        <v>73</v>
      </c>
      <c r="BG35" s="1" t="s">
        <v>73</v>
      </c>
      <c r="BH35" s="1" t="s">
        <v>73</v>
      </c>
      <c r="BI35" s="1" t="s">
        <v>73</v>
      </c>
      <c r="BJ35" s="1" t="s">
        <v>73</v>
      </c>
      <c r="BK35" s="1"/>
      <c r="BL35" s="1" t="s">
        <v>73</v>
      </c>
      <c r="BM35" s="1" t="s">
        <v>73</v>
      </c>
      <c r="BN35" s="1" t="s">
        <v>73</v>
      </c>
      <c r="BO35" s="1" t="s">
        <v>73</v>
      </c>
      <c r="BP35" s="1" t="s">
        <v>73</v>
      </c>
      <c r="BQ35" s="1" t="s">
        <v>73</v>
      </c>
      <c r="BR35" s="1"/>
      <c r="BS35" s="1" t="s">
        <v>73</v>
      </c>
      <c r="BT35" s="1" t="s">
        <v>73</v>
      </c>
      <c r="BU35" s="1" t="s">
        <v>73</v>
      </c>
      <c r="BV35" s="1" t="s">
        <v>73</v>
      </c>
      <c r="BW35" s="1"/>
      <c r="CB35"/>
      <c r="CC35"/>
    </row>
    <row r="36" spans="1:81" ht="16" x14ac:dyDescent="0.2">
      <c r="A36" t="s">
        <v>134</v>
      </c>
      <c r="B36" t="s">
        <v>203</v>
      </c>
      <c r="C36" t="s">
        <v>204</v>
      </c>
      <c r="D36" s="1" t="s">
        <v>73</v>
      </c>
      <c r="E36" s="1" t="s">
        <v>73</v>
      </c>
      <c r="F36" s="1" t="s">
        <v>73</v>
      </c>
      <c r="G36" s="1" t="s">
        <v>73</v>
      </c>
      <c r="H36" s="1"/>
      <c r="I36" s="1"/>
      <c r="N36" s="1"/>
      <c r="O36" s="1"/>
      <c r="P36" s="1"/>
      <c r="Q36" s="1" t="s">
        <v>73</v>
      </c>
      <c r="R36" s="1" t="s">
        <v>73</v>
      </c>
      <c r="S36" s="1" t="s">
        <v>73</v>
      </c>
      <c r="T36" s="79"/>
      <c r="U36" s="79"/>
      <c r="V36" s="1"/>
      <c r="W36" s="1"/>
      <c r="X36" s="1"/>
      <c r="Y36" s="1"/>
      <c r="Z36" s="1" t="s">
        <v>73</v>
      </c>
      <c r="AA36" s="1" t="s">
        <v>73</v>
      </c>
      <c r="AC36" s="1"/>
      <c r="AE36" s="1"/>
      <c r="AF36" s="1"/>
      <c r="AK36" s="1" t="s">
        <v>73</v>
      </c>
      <c r="AL36" s="1" t="s">
        <v>73</v>
      </c>
      <c r="AN36" s="1" t="s">
        <v>73</v>
      </c>
      <c r="AP36" s="1" t="s">
        <v>73</v>
      </c>
      <c r="AR36" s="1" t="s">
        <v>73</v>
      </c>
      <c r="AT36" t="s">
        <v>73</v>
      </c>
      <c r="AW36" s="1">
        <v>30</v>
      </c>
      <c r="AX36" s="1">
        <v>2</v>
      </c>
      <c r="AY36" s="1" t="s">
        <v>72</v>
      </c>
      <c r="AZ36" s="1" t="s">
        <v>73</v>
      </c>
      <c r="BA36" s="126" t="s">
        <v>73</v>
      </c>
      <c r="BB36" s="1">
        <v>1843</v>
      </c>
      <c r="BC36" s="100">
        <v>45642.664270833331</v>
      </c>
      <c r="BD36" s="85">
        <v>45642.632361111115</v>
      </c>
      <c r="BE36" s="1" t="s">
        <v>73</v>
      </c>
      <c r="BF36" s="1" t="s">
        <v>73</v>
      </c>
      <c r="BG36" s="1" t="s">
        <v>73</v>
      </c>
      <c r="BH36" s="1" t="s">
        <v>73</v>
      </c>
      <c r="BI36" s="1" t="s">
        <v>73</v>
      </c>
      <c r="BJ36" s="1" t="s">
        <v>73</v>
      </c>
      <c r="BK36" s="1"/>
      <c r="BL36" s="1" t="s">
        <v>73</v>
      </c>
      <c r="BM36" s="1" t="s">
        <v>73</v>
      </c>
      <c r="BN36" s="1" t="s">
        <v>73</v>
      </c>
      <c r="BO36" s="1" t="s">
        <v>73</v>
      </c>
      <c r="BP36" s="1" t="s">
        <v>73</v>
      </c>
      <c r="BQ36" s="1" t="s">
        <v>73</v>
      </c>
      <c r="BR36" s="1"/>
      <c r="BS36" s="1" t="s">
        <v>73</v>
      </c>
      <c r="BT36" s="1" t="s">
        <v>73</v>
      </c>
      <c r="BU36" s="1" t="s">
        <v>73</v>
      </c>
      <c r="BV36" s="1" t="s">
        <v>73</v>
      </c>
      <c r="BW36" s="1"/>
      <c r="CB36"/>
      <c r="CC36"/>
    </row>
    <row r="37" spans="1:81" ht="16" x14ac:dyDescent="0.2">
      <c r="A37" t="s">
        <v>134</v>
      </c>
      <c r="B37" t="s">
        <v>192</v>
      </c>
      <c r="C37" t="s">
        <v>193</v>
      </c>
      <c r="D37" s="1" t="s">
        <v>73</v>
      </c>
      <c r="E37" s="1" t="s">
        <v>72</v>
      </c>
      <c r="F37" s="1" t="s">
        <v>72</v>
      </c>
      <c r="G37" s="1" t="s">
        <v>73</v>
      </c>
      <c r="H37" s="1"/>
      <c r="I37" s="1">
        <v>8</v>
      </c>
      <c r="N37" s="1"/>
      <c r="O37" s="1"/>
      <c r="P37" s="1"/>
      <c r="Q37" s="1" t="s">
        <v>73</v>
      </c>
      <c r="R37" s="1" t="s">
        <v>73</v>
      </c>
      <c r="S37" s="1" t="s">
        <v>73</v>
      </c>
      <c r="T37" s="79"/>
      <c r="U37" s="79"/>
      <c r="V37" s="1"/>
      <c r="W37" s="1"/>
      <c r="X37" s="1"/>
      <c r="Y37" s="1"/>
      <c r="Z37" s="1" t="s">
        <v>73</v>
      </c>
      <c r="AA37" s="1" t="s">
        <v>73</v>
      </c>
      <c r="AC37" s="1">
        <v>3</v>
      </c>
      <c r="AE37" s="1"/>
      <c r="AF37" s="1"/>
      <c r="AG37">
        <v>3</v>
      </c>
      <c r="AK37" s="1" t="s">
        <v>72</v>
      </c>
      <c r="AL37" s="1" t="s">
        <v>72</v>
      </c>
      <c r="AM37">
        <v>6</v>
      </c>
      <c r="AN37" s="1" t="s">
        <v>72</v>
      </c>
      <c r="AO37">
        <v>4</v>
      </c>
      <c r="AP37" s="1" t="s">
        <v>73</v>
      </c>
      <c r="AR37" s="1" t="s">
        <v>72</v>
      </c>
      <c r="AS37">
        <v>6</v>
      </c>
      <c r="AT37" t="s">
        <v>73</v>
      </c>
      <c r="AW37" s="1">
        <v>60</v>
      </c>
      <c r="AX37" s="1">
        <v>1</v>
      </c>
      <c r="AY37" s="1" t="s">
        <v>72</v>
      </c>
      <c r="AZ37" s="1" t="s">
        <v>72</v>
      </c>
      <c r="BA37" s="126" t="s">
        <v>73</v>
      </c>
      <c r="BB37" s="1">
        <v>1840</v>
      </c>
      <c r="BC37" s="100">
        <v>45641.723495370374</v>
      </c>
      <c r="BD37" s="85">
        <v>45641.681828703702</v>
      </c>
      <c r="BE37" s="1" t="s">
        <v>73</v>
      </c>
      <c r="BF37" s="1" t="s">
        <v>73</v>
      </c>
      <c r="BG37" s="1" t="s">
        <v>73</v>
      </c>
      <c r="BH37" s="1" t="s">
        <v>73</v>
      </c>
      <c r="BI37" s="1" t="s">
        <v>73</v>
      </c>
      <c r="BJ37" s="1" t="s">
        <v>73</v>
      </c>
      <c r="BK37" s="1"/>
      <c r="BL37" s="1" t="s">
        <v>73</v>
      </c>
      <c r="BM37" s="1" t="s">
        <v>73</v>
      </c>
      <c r="BN37" s="1" t="s">
        <v>73</v>
      </c>
      <c r="BO37" s="1" t="s">
        <v>73</v>
      </c>
      <c r="BP37" s="1" t="s">
        <v>73</v>
      </c>
      <c r="BQ37" s="1" t="s">
        <v>73</v>
      </c>
      <c r="BR37" s="1"/>
      <c r="BS37" s="1" t="s">
        <v>73</v>
      </c>
      <c r="BT37" s="1" t="s">
        <v>73</v>
      </c>
      <c r="BU37" s="1" t="s">
        <v>73</v>
      </c>
      <c r="BV37" s="1" t="s">
        <v>73</v>
      </c>
      <c r="BW37" s="1"/>
      <c r="CB37"/>
      <c r="CC37"/>
    </row>
    <row r="38" spans="1:81" ht="112" x14ac:dyDescent="0.2">
      <c r="A38" t="s">
        <v>134</v>
      </c>
      <c r="B38" t="s">
        <v>174</v>
      </c>
      <c r="C38" t="s">
        <v>130</v>
      </c>
      <c r="D38" s="1" t="s">
        <v>73</v>
      </c>
      <c r="E38" s="1" t="s">
        <v>72</v>
      </c>
      <c r="F38" s="1" t="s">
        <v>73</v>
      </c>
      <c r="G38" s="1" t="s">
        <v>73</v>
      </c>
      <c r="H38" s="1"/>
      <c r="I38" s="1">
        <v>4</v>
      </c>
      <c r="N38" s="1"/>
      <c r="O38" s="1"/>
      <c r="P38" s="1"/>
      <c r="Q38" s="1" t="s">
        <v>73</v>
      </c>
      <c r="R38" s="1" t="s">
        <v>73</v>
      </c>
      <c r="S38" s="1" t="s">
        <v>73</v>
      </c>
      <c r="T38" s="79"/>
      <c r="U38" s="79"/>
      <c r="V38" s="1"/>
      <c r="W38" s="1"/>
      <c r="X38" s="1"/>
      <c r="Y38" s="1"/>
      <c r="Z38" s="1" t="s">
        <v>73</v>
      </c>
      <c r="AA38" s="1" t="s">
        <v>73</v>
      </c>
      <c r="AC38" s="1"/>
      <c r="AE38" s="1"/>
      <c r="AF38" s="1"/>
      <c r="AK38" s="1" t="s">
        <v>73</v>
      </c>
      <c r="AL38" s="1" t="s">
        <v>72</v>
      </c>
      <c r="AM38">
        <v>4</v>
      </c>
      <c r="AN38" s="1" t="s">
        <v>72</v>
      </c>
      <c r="AO38">
        <v>4</v>
      </c>
      <c r="AP38" s="1" t="s">
        <v>73</v>
      </c>
      <c r="AR38" s="1" t="s">
        <v>73</v>
      </c>
      <c r="AT38" t="s">
        <v>73</v>
      </c>
      <c r="AW38" s="1">
        <v>50</v>
      </c>
      <c r="AX38" s="1">
        <v>0</v>
      </c>
      <c r="AY38" s="1" t="s">
        <v>73</v>
      </c>
      <c r="AZ38" s="1" t="s">
        <v>73</v>
      </c>
      <c r="BA38" s="126" t="s">
        <v>131</v>
      </c>
      <c r="BB38" s="1">
        <v>1809</v>
      </c>
      <c r="BC38" s="100">
        <v>45628.780671296299</v>
      </c>
      <c r="BD38" s="85">
        <v>45631.711145833331</v>
      </c>
      <c r="BE38" s="1" t="s">
        <v>73</v>
      </c>
      <c r="BF38" s="1" t="s">
        <v>73</v>
      </c>
      <c r="BG38" s="1" t="s">
        <v>73</v>
      </c>
      <c r="BH38" s="1" t="s">
        <v>73</v>
      </c>
      <c r="BI38" s="1" t="s">
        <v>73</v>
      </c>
      <c r="BJ38" s="1" t="s">
        <v>73</v>
      </c>
      <c r="BK38" s="1"/>
      <c r="BL38" s="1" t="s">
        <v>73</v>
      </c>
      <c r="BM38" s="1" t="s">
        <v>73</v>
      </c>
      <c r="BN38" s="1" t="s">
        <v>73</v>
      </c>
      <c r="BO38" s="1" t="s">
        <v>73</v>
      </c>
      <c r="BP38" s="1" t="s">
        <v>73</v>
      </c>
      <c r="BQ38" s="1" t="s">
        <v>73</v>
      </c>
      <c r="BR38" s="1"/>
      <c r="BS38" s="1" t="s">
        <v>73</v>
      </c>
      <c r="BT38" s="1" t="s">
        <v>73</v>
      </c>
      <c r="BU38" s="1" t="s">
        <v>73</v>
      </c>
      <c r="BV38" s="1" t="s">
        <v>73</v>
      </c>
      <c r="BW38" s="1"/>
      <c r="CB38"/>
      <c r="CC38"/>
    </row>
    <row r="39" spans="1:81" ht="16" x14ac:dyDescent="0.2">
      <c r="A39" t="s">
        <v>135</v>
      </c>
      <c r="B39" t="s">
        <v>354</v>
      </c>
      <c r="C39" t="s">
        <v>355</v>
      </c>
      <c r="D39" s="1" t="s">
        <v>73</v>
      </c>
      <c r="E39" s="1" t="s">
        <v>72</v>
      </c>
      <c r="F39" s="1" t="s">
        <v>72</v>
      </c>
      <c r="G39" s="1" t="s">
        <v>73</v>
      </c>
      <c r="H39" s="1"/>
      <c r="I39" s="1">
        <v>5</v>
      </c>
      <c r="N39" s="1"/>
      <c r="O39" s="1"/>
      <c r="P39" s="1"/>
      <c r="Q39" s="1" t="s">
        <v>73</v>
      </c>
      <c r="R39" s="1" t="s">
        <v>73</v>
      </c>
      <c r="S39" s="1" t="s">
        <v>73</v>
      </c>
      <c r="T39" s="79"/>
      <c r="U39" s="79"/>
      <c r="V39" s="1"/>
      <c r="W39" s="1"/>
      <c r="X39" s="1"/>
      <c r="Y39" s="1"/>
      <c r="Z39" s="1" t="s">
        <v>73</v>
      </c>
      <c r="AA39" s="1" t="s">
        <v>73</v>
      </c>
      <c r="AC39" s="1"/>
      <c r="AE39" s="1"/>
      <c r="AF39" s="1"/>
      <c r="AK39" s="1" t="s">
        <v>73</v>
      </c>
      <c r="AL39" s="1" t="s">
        <v>72</v>
      </c>
      <c r="AM39">
        <v>6</v>
      </c>
      <c r="AN39" s="1" t="s">
        <v>73</v>
      </c>
      <c r="AP39" s="1" t="s">
        <v>73</v>
      </c>
      <c r="AR39" s="1" t="s">
        <v>72</v>
      </c>
      <c r="AS39">
        <v>6</v>
      </c>
      <c r="AT39" t="s">
        <v>73</v>
      </c>
      <c r="AW39" s="1">
        <v>25</v>
      </c>
      <c r="AX39" s="1">
        <v>1</v>
      </c>
      <c r="AY39" s="1" t="s">
        <v>73</v>
      </c>
      <c r="AZ39" s="1" t="s">
        <v>73</v>
      </c>
      <c r="BA39" s="126" t="s">
        <v>73</v>
      </c>
      <c r="BB39" s="1">
        <v>1984</v>
      </c>
      <c r="BC39" s="100">
        <v>45657.489976851852</v>
      </c>
      <c r="BD39" s="85">
        <v>45657.448310185187</v>
      </c>
      <c r="BE39" s="1" t="s">
        <v>73</v>
      </c>
      <c r="BF39" s="1" t="s">
        <v>73</v>
      </c>
      <c r="BG39" s="1" t="s">
        <v>73</v>
      </c>
      <c r="BH39" s="1" t="s">
        <v>73</v>
      </c>
      <c r="BI39" s="1" t="s">
        <v>73</v>
      </c>
      <c r="BJ39" s="1" t="s">
        <v>73</v>
      </c>
      <c r="BK39" s="1"/>
      <c r="BL39" s="1" t="s">
        <v>73</v>
      </c>
      <c r="BM39" s="1" t="s">
        <v>73</v>
      </c>
      <c r="BN39" s="1" t="s">
        <v>73</v>
      </c>
      <c r="BO39" s="1" t="s">
        <v>73</v>
      </c>
      <c r="BP39" s="1" t="s">
        <v>73</v>
      </c>
      <c r="BQ39" s="1" t="s">
        <v>73</v>
      </c>
      <c r="BR39" s="1"/>
      <c r="BS39" s="1" t="s">
        <v>73</v>
      </c>
      <c r="BT39" s="1" t="s">
        <v>73</v>
      </c>
      <c r="BU39" s="1" t="s">
        <v>73</v>
      </c>
      <c r="BV39" s="1" t="s">
        <v>73</v>
      </c>
      <c r="BW39" s="1"/>
      <c r="BX39" t="s">
        <v>73</v>
      </c>
      <c r="BY39" t="s">
        <v>73</v>
      </c>
      <c r="CB39"/>
      <c r="CC39"/>
    </row>
    <row r="40" spans="1:81" ht="16" x14ac:dyDescent="0.2">
      <c r="A40" t="s">
        <v>135</v>
      </c>
      <c r="B40" t="s">
        <v>326</v>
      </c>
      <c r="C40" t="s">
        <v>327</v>
      </c>
      <c r="D40" s="1" t="s">
        <v>73</v>
      </c>
      <c r="E40" s="1" t="s">
        <v>72</v>
      </c>
      <c r="F40" s="1" t="s">
        <v>72</v>
      </c>
      <c r="G40" s="1" t="s">
        <v>72</v>
      </c>
      <c r="H40" s="1" t="s">
        <v>74</v>
      </c>
      <c r="I40" s="1">
        <v>7</v>
      </c>
      <c r="N40" s="1">
        <v>7</v>
      </c>
      <c r="O40" s="1"/>
      <c r="P40" s="1"/>
      <c r="Q40" s="1" t="s">
        <v>73</v>
      </c>
      <c r="R40" s="1" t="s">
        <v>73</v>
      </c>
      <c r="S40" s="1" t="s">
        <v>73</v>
      </c>
      <c r="T40" s="79">
        <v>2</v>
      </c>
      <c r="U40" s="79"/>
      <c r="V40" s="1"/>
      <c r="W40" s="1">
        <v>2</v>
      </c>
      <c r="X40" s="1"/>
      <c r="Y40" s="1"/>
      <c r="Z40" s="1" t="s">
        <v>72</v>
      </c>
      <c r="AA40" s="1" t="s">
        <v>73</v>
      </c>
      <c r="AB40">
        <v>4</v>
      </c>
      <c r="AC40" s="1">
        <v>1</v>
      </c>
      <c r="AE40" s="1"/>
      <c r="AF40" s="1"/>
      <c r="AG40">
        <v>1</v>
      </c>
      <c r="AK40" s="1" t="s">
        <v>73</v>
      </c>
      <c r="AL40" s="1" t="s">
        <v>72</v>
      </c>
      <c r="AM40">
        <v>6</v>
      </c>
      <c r="AN40" s="1" t="s">
        <v>72</v>
      </c>
      <c r="AO40">
        <v>3</v>
      </c>
      <c r="AP40" s="1" t="s">
        <v>72</v>
      </c>
      <c r="AQ40">
        <v>6</v>
      </c>
      <c r="AR40" s="1" t="s">
        <v>73</v>
      </c>
      <c r="AT40" t="s">
        <v>73</v>
      </c>
      <c r="AW40" s="1">
        <v>33</v>
      </c>
      <c r="AX40" s="1">
        <v>0</v>
      </c>
      <c r="AY40" s="1" t="s">
        <v>73</v>
      </c>
      <c r="AZ40" s="1" t="s">
        <v>73</v>
      </c>
      <c r="BA40" s="126" t="s">
        <v>73</v>
      </c>
      <c r="BB40" s="1">
        <v>1965</v>
      </c>
      <c r="BC40" s="100">
        <v>45655.548738425925</v>
      </c>
      <c r="BD40" s="85">
        <v>45655.507071759261</v>
      </c>
      <c r="BE40" s="1" t="s">
        <v>327</v>
      </c>
      <c r="BF40" s="1" t="s">
        <v>78</v>
      </c>
      <c r="BG40" s="1" t="s">
        <v>215</v>
      </c>
      <c r="BH40" s="1" t="s">
        <v>77</v>
      </c>
      <c r="BI40" s="1" t="s">
        <v>332</v>
      </c>
      <c r="BJ40" s="1" t="s">
        <v>333</v>
      </c>
      <c r="BK40" s="1">
        <v>20</v>
      </c>
      <c r="BL40" s="1" t="s">
        <v>73</v>
      </c>
      <c r="BM40" s="1" t="s">
        <v>73</v>
      </c>
      <c r="BN40" s="1" t="s">
        <v>73</v>
      </c>
      <c r="BO40" s="1" t="s">
        <v>73</v>
      </c>
      <c r="BP40" s="1" t="s">
        <v>73</v>
      </c>
      <c r="BQ40" s="1" t="s">
        <v>73</v>
      </c>
      <c r="BR40" s="1"/>
      <c r="BS40" s="1" t="s">
        <v>75</v>
      </c>
      <c r="BT40" s="1" t="s">
        <v>334</v>
      </c>
      <c r="BU40" s="1" t="s">
        <v>335</v>
      </c>
      <c r="BV40" s="1" t="s">
        <v>336</v>
      </c>
      <c r="BW40" s="1">
        <v>12</v>
      </c>
      <c r="BX40" t="s">
        <v>73</v>
      </c>
      <c r="BY40" t="s">
        <v>73</v>
      </c>
      <c r="CB40"/>
      <c r="CC40"/>
    </row>
    <row r="41" spans="1:81" ht="16" x14ac:dyDescent="0.2">
      <c r="A41" t="s">
        <v>135</v>
      </c>
      <c r="B41" t="s">
        <v>323</v>
      </c>
      <c r="C41" t="s">
        <v>324</v>
      </c>
      <c r="D41" s="1" t="s">
        <v>73</v>
      </c>
      <c r="E41" s="1" t="s">
        <v>72</v>
      </c>
      <c r="F41" s="1" t="s">
        <v>72</v>
      </c>
      <c r="G41" s="1" t="s">
        <v>73</v>
      </c>
      <c r="H41" s="1"/>
      <c r="I41" s="1">
        <v>3</v>
      </c>
      <c r="N41" s="1"/>
      <c r="O41" s="1"/>
      <c r="P41" s="1"/>
      <c r="Q41" s="1" t="s">
        <v>73</v>
      </c>
      <c r="R41" s="1" t="s">
        <v>73</v>
      </c>
      <c r="S41" s="1" t="s">
        <v>73</v>
      </c>
      <c r="T41" s="79"/>
      <c r="U41" s="79"/>
      <c r="V41" s="1"/>
      <c r="W41" s="1"/>
      <c r="X41" s="1"/>
      <c r="Y41" s="1"/>
      <c r="Z41" s="1" t="s">
        <v>73</v>
      </c>
      <c r="AA41" s="1" t="s">
        <v>73</v>
      </c>
      <c r="AC41" s="1"/>
      <c r="AE41" s="1"/>
      <c r="AF41" s="1"/>
      <c r="AK41" s="1" t="s">
        <v>73</v>
      </c>
      <c r="AL41" s="1" t="s">
        <v>72</v>
      </c>
      <c r="AM41">
        <v>6</v>
      </c>
      <c r="AN41" s="1" t="s">
        <v>72</v>
      </c>
      <c r="AO41">
        <v>6</v>
      </c>
      <c r="AP41" s="1" t="s">
        <v>73</v>
      </c>
      <c r="AR41" s="1" t="s">
        <v>72</v>
      </c>
      <c r="AS41">
        <v>6</v>
      </c>
      <c r="AT41" t="s">
        <v>73</v>
      </c>
      <c r="AW41" s="1">
        <v>25</v>
      </c>
      <c r="AX41" s="1">
        <v>0</v>
      </c>
      <c r="AY41" s="1" t="s">
        <v>73</v>
      </c>
      <c r="AZ41" s="1" t="s">
        <v>73</v>
      </c>
      <c r="BA41" s="126" t="s">
        <v>73</v>
      </c>
      <c r="BB41" s="1">
        <v>1961</v>
      </c>
      <c r="BC41" s="100">
        <v>45655.481435185182</v>
      </c>
      <c r="BD41" s="85">
        <v>45655.439768518518</v>
      </c>
      <c r="BE41" s="1" t="s">
        <v>73</v>
      </c>
      <c r="BF41" s="1" t="s">
        <v>73</v>
      </c>
      <c r="BG41" s="1" t="s">
        <v>73</v>
      </c>
      <c r="BH41" s="1" t="s">
        <v>73</v>
      </c>
      <c r="BI41" s="1" t="s">
        <v>73</v>
      </c>
      <c r="BJ41" s="1" t="s">
        <v>73</v>
      </c>
      <c r="BK41" s="1"/>
      <c r="BL41" s="1" t="s">
        <v>73</v>
      </c>
      <c r="BM41" s="1" t="s">
        <v>73</v>
      </c>
      <c r="BN41" s="1" t="s">
        <v>73</v>
      </c>
      <c r="BO41" s="1" t="s">
        <v>73</v>
      </c>
      <c r="BP41" s="1" t="s">
        <v>73</v>
      </c>
      <c r="BQ41" s="1" t="s">
        <v>73</v>
      </c>
      <c r="BR41" s="1"/>
      <c r="BS41" s="1" t="s">
        <v>73</v>
      </c>
      <c r="BT41" s="1" t="s">
        <v>73</v>
      </c>
      <c r="BU41" s="1" t="s">
        <v>73</v>
      </c>
      <c r="BV41" s="1" t="s">
        <v>73</v>
      </c>
      <c r="BW41" s="1"/>
      <c r="BX41" t="s">
        <v>73</v>
      </c>
      <c r="BY41" t="s">
        <v>73</v>
      </c>
      <c r="CB41"/>
      <c r="CC41"/>
    </row>
    <row r="42" spans="1:81" ht="16" x14ac:dyDescent="0.2">
      <c r="A42" t="s">
        <v>135</v>
      </c>
      <c r="B42" t="s">
        <v>269</v>
      </c>
      <c r="C42" t="s">
        <v>270</v>
      </c>
      <c r="D42" s="1" t="s">
        <v>72</v>
      </c>
      <c r="E42" s="1" t="s">
        <v>73</v>
      </c>
      <c r="F42" s="1" t="s">
        <v>73</v>
      </c>
      <c r="G42" s="1" t="s">
        <v>73</v>
      </c>
      <c r="H42" s="1"/>
      <c r="I42" s="1"/>
      <c r="N42" s="1"/>
      <c r="O42" s="1"/>
      <c r="P42" s="1"/>
      <c r="Q42" s="1" t="s">
        <v>73</v>
      </c>
      <c r="R42" s="1" t="s">
        <v>73</v>
      </c>
      <c r="S42" s="1" t="s">
        <v>73</v>
      </c>
      <c r="T42" s="79"/>
      <c r="U42" s="79"/>
      <c r="V42" s="1"/>
      <c r="W42" s="1"/>
      <c r="X42" s="1"/>
      <c r="Y42" s="1"/>
      <c r="Z42" s="1" t="s">
        <v>73</v>
      </c>
      <c r="AA42" s="1" t="s">
        <v>73</v>
      </c>
      <c r="AC42" s="1"/>
      <c r="AE42" s="1"/>
      <c r="AF42" s="1"/>
      <c r="AK42" s="1" t="s">
        <v>73</v>
      </c>
      <c r="AL42" s="1" t="s">
        <v>73</v>
      </c>
      <c r="AN42" s="1" t="s">
        <v>73</v>
      </c>
      <c r="AP42" s="1" t="s">
        <v>73</v>
      </c>
      <c r="AR42" s="1" t="s">
        <v>73</v>
      </c>
      <c r="AT42" t="s">
        <v>73</v>
      </c>
      <c r="AW42" s="1">
        <v>10</v>
      </c>
      <c r="AX42" s="1">
        <v>0</v>
      </c>
      <c r="AY42" s="1" t="s">
        <v>73</v>
      </c>
      <c r="AZ42" s="1" t="s">
        <v>73</v>
      </c>
      <c r="BA42" s="126" t="s">
        <v>73</v>
      </c>
      <c r="BB42" s="1">
        <v>1943</v>
      </c>
      <c r="BC42" s="100">
        <v>45653.471585648149</v>
      </c>
      <c r="BD42" s="85">
        <v>45653.429918981485</v>
      </c>
      <c r="BE42" s="1" t="s">
        <v>73</v>
      </c>
      <c r="BF42" s="1" t="s">
        <v>73</v>
      </c>
      <c r="BG42" s="1" t="s">
        <v>73</v>
      </c>
      <c r="BH42" s="1" t="s">
        <v>73</v>
      </c>
      <c r="BI42" s="1" t="s">
        <v>73</v>
      </c>
      <c r="BJ42" s="1" t="s">
        <v>73</v>
      </c>
      <c r="BK42" s="1"/>
      <c r="BL42" s="1" t="s">
        <v>73</v>
      </c>
      <c r="BM42" s="1" t="s">
        <v>73</v>
      </c>
      <c r="BN42" s="1" t="s">
        <v>73</v>
      </c>
      <c r="BO42" s="1" t="s">
        <v>73</v>
      </c>
      <c r="BP42" s="1" t="s">
        <v>73</v>
      </c>
      <c r="BQ42" s="1" t="s">
        <v>73</v>
      </c>
      <c r="BR42" s="1"/>
      <c r="BS42" s="1" t="s">
        <v>73</v>
      </c>
      <c r="BT42" s="1" t="s">
        <v>73</v>
      </c>
      <c r="BU42" s="1" t="s">
        <v>73</v>
      </c>
      <c r="BV42" s="1" t="s">
        <v>73</v>
      </c>
      <c r="BW42" s="1"/>
      <c r="BX42" t="s">
        <v>73</v>
      </c>
      <c r="BY42" t="s">
        <v>73</v>
      </c>
      <c r="CB42"/>
      <c r="CC42"/>
    </row>
    <row r="43" spans="1:81" ht="176" x14ac:dyDescent="0.2">
      <c r="A43" t="s">
        <v>135</v>
      </c>
      <c r="B43" t="s">
        <v>295</v>
      </c>
      <c r="C43" t="s">
        <v>296</v>
      </c>
      <c r="D43" s="1" t="s">
        <v>73</v>
      </c>
      <c r="E43" s="1" t="s">
        <v>72</v>
      </c>
      <c r="F43" s="1" t="s">
        <v>73</v>
      </c>
      <c r="G43" s="1" t="s">
        <v>73</v>
      </c>
      <c r="H43" s="1"/>
      <c r="I43" s="1">
        <v>8</v>
      </c>
      <c r="N43" s="1"/>
      <c r="O43" s="1"/>
      <c r="P43" s="1"/>
      <c r="Q43" s="1" t="s">
        <v>73</v>
      </c>
      <c r="R43" s="1" t="s">
        <v>73</v>
      </c>
      <c r="S43" s="1" t="s">
        <v>73</v>
      </c>
      <c r="T43" s="79"/>
      <c r="U43" s="79"/>
      <c r="V43" s="1"/>
      <c r="W43" s="1"/>
      <c r="X43" s="1"/>
      <c r="Y43" s="1"/>
      <c r="Z43" s="1" t="s">
        <v>73</v>
      </c>
      <c r="AA43" s="1" t="s">
        <v>73</v>
      </c>
      <c r="AC43" s="1"/>
      <c r="AE43" s="1"/>
      <c r="AF43" s="1"/>
      <c r="AK43" s="1" t="s">
        <v>73</v>
      </c>
      <c r="AL43" s="1" t="s">
        <v>73</v>
      </c>
      <c r="AN43" s="1" t="s">
        <v>73</v>
      </c>
      <c r="AP43" s="1" t="s">
        <v>73</v>
      </c>
      <c r="AR43" s="1" t="s">
        <v>73</v>
      </c>
      <c r="AT43" t="s">
        <v>73</v>
      </c>
      <c r="AW43" s="1">
        <v>9</v>
      </c>
      <c r="AX43" s="1">
        <v>0</v>
      </c>
      <c r="AY43" s="1" t="s">
        <v>73</v>
      </c>
      <c r="AZ43" s="1" t="s">
        <v>73</v>
      </c>
      <c r="BA43" s="126" t="s">
        <v>297</v>
      </c>
      <c r="BB43" s="1">
        <v>1932</v>
      </c>
      <c r="BC43" s="100">
        <v>45652.580729166664</v>
      </c>
      <c r="BD43" s="85">
        <v>45652.5390625</v>
      </c>
      <c r="BE43" s="1" t="s">
        <v>73</v>
      </c>
      <c r="BF43" s="1" t="s">
        <v>73</v>
      </c>
      <c r="BG43" s="1" t="s">
        <v>73</v>
      </c>
      <c r="BH43" s="1" t="s">
        <v>73</v>
      </c>
      <c r="BI43" s="1" t="s">
        <v>73</v>
      </c>
      <c r="BJ43" s="1" t="s">
        <v>73</v>
      </c>
      <c r="BK43" s="1"/>
      <c r="BL43" s="1" t="s">
        <v>73</v>
      </c>
      <c r="BM43" s="1" t="s">
        <v>73</v>
      </c>
      <c r="BN43" s="1" t="s">
        <v>73</v>
      </c>
      <c r="BO43" s="1" t="s">
        <v>73</v>
      </c>
      <c r="BP43" s="1" t="s">
        <v>73</v>
      </c>
      <c r="BQ43" s="1" t="s">
        <v>73</v>
      </c>
      <c r="BR43" s="1"/>
      <c r="BS43" s="1" t="s">
        <v>73</v>
      </c>
      <c r="BT43" s="1" t="s">
        <v>73</v>
      </c>
      <c r="BU43" s="1" t="s">
        <v>73</v>
      </c>
      <c r="BV43" s="1" t="s">
        <v>73</v>
      </c>
      <c r="BW43" s="1"/>
      <c r="BX43" t="s">
        <v>73</v>
      </c>
      <c r="BY43" t="s">
        <v>73</v>
      </c>
      <c r="CB43"/>
      <c r="CC43"/>
    </row>
    <row r="44" spans="1:81" ht="16" x14ac:dyDescent="0.2">
      <c r="A44" t="s">
        <v>135</v>
      </c>
      <c r="B44" t="s">
        <v>288</v>
      </c>
      <c r="C44" t="s">
        <v>289</v>
      </c>
      <c r="D44" s="1" t="s">
        <v>72</v>
      </c>
      <c r="E44" s="1" t="s">
        <v>73</v>
      </c>
      <c r="F44" s="1" t="s">
        <v>73</v>
      </c>
      <c r="G44" s="1" t="s">
        <v>73</v>
      </c>
      <c r="H44" s="1"/>
      <c r="I44" s="1"/>
      <c r="N44" s="1"/>
      <c r="O44" s="1"/>
      <c r="P44" s="1"/>
      <c r="Q44" s="1" t="s">
        <v>73</v>
      </c>
      <c r="R44" s="1" t="s">
        <v>73</v>
      </c>
      <c r="S44" s="1" t="s">
        <v>73</v>
      </c>
      <c r="T44" s="79"/>
      <c r="U44" s="79"/>
      <c r="V44" s="1"/>
      <c r="W44" s="1"/>
      <c r="X44" s="1"/>
      <c r="Y44" s="1"/>
      <c r="Z44" s="1" t="s">
        <v>73</v>
      </c>
      <c r="AA44" s="1" t="s">
        <v>73</v>
      </c>
      <c r="AC44" s="1"/>
      <c r="AE44" s="1"/>
      <c r="AF44" s="1"/>
      <c r="AK44" s="1" t="s">
        <v>73</v>
      </c>
      <c r="AL44" s="1" t="s">
        <v>73</v>
      </c>
      <c r="AN44" s="1" t="s">
        <v>73</v>
      </c>
      <c r="AP44" s="1" t="s">
        <v>73</v>
      </c>
      <c r="AR44" s="1" t="s">
        <v>73</v>
      </c>
      <c r="AT44" t="s">
        <v>73</v>
      </c>
      <c r="AW44" s="1">
        <v>10</v>
      </c>
      <c r="AX44" s="1">
        <v>0</v>
      </c>
      <c r="AY44" s="1" t="s">
        <v>73</v>
      </c>
      <c r="AZ44" s="1" t="s">
        <v>73</v>
      </c>
      <c r="BA44" s="126" t="s">
        <v>73</v>
      </c>
      <c r="BB44" s="1">
        <v>1931</v>
      </c>
      <c r="BC44" s="100">
        <v>45652.55159722222</v>
      </c>
      <c r="BD44" s="85">
        <v>45652.509930555556</v>
      </c>
      <c r="BE44" s="1" t="s">
        <v>73</v>
      </c>
      <c r="BF44" s="1" t="s">
        <v>73</v>
      </c>
      <c r="BG44" s="1" t="s">
        <v>73</v>
      </c>
      <c r="BH44" s="1" t="s">
        <v>73</v>
      </c>
      <c r="BI44" s="1" t="s">
        <v>73</v>
      </c>
      <c r="BJ44" s="1" t="s">
        <v>73</v>
      </c>
      <c r="BK44" s="1"/>
      <c r="BL44" s="1" t="s">
        <v>73</v>
      </c>
      <c r="BM44" s="1" t="s">
        <v>73</v>
      </c>
      <c r="BN44" s="1" t="s">
        <v>73</v>
      </c>
      <c r="BO44" s="1" t="s">
        <v>73</v>
      </c>
      <c r="BP44" s="1" t="s">
        <v>73</v>
      </c>
      <c r="BQ44" s="1" t="s">
        <v>73</v>
      </c>
      <c r="BR44" s="1"/>
      <c r="BS44" s="1" t="s">
        <v>73</v>
      </c>
      <c r="BT44" s="1" t="s">
        <v>73</v>
      </c>
      <c r="BU44" s="1" t="s">
        <v>73</v>
      </c>
      <c r="BV44" s="1" t="s">
        <v>73</v>
      </c>
      <c r="BW44" s="1"/>
      <c r="BX44" t="s">
        <v>73</v>
      </c>
      <c r="BY44" t="s">
        <v>73</v>
      </c>
      <c r="CB44"/>
      <c r="CC44"/>
    </row>
    <row r="45" spans="1:81" ht="16" x14ac:dyDescent="0.2">
      <c r="A45" t="s">
        <v>135</v>
      </c>
      <c r="B45" t="s">
        <v>254</v>
      </c>
      <c r="C45" t="s">
        <v>255</v>
      </c>
      <c r="D45" s="1" t="s">
        <v>73</v>
      </c>
      <c r="E45" s="1" t="s">
        <v>72</v>
      </c>
      <c r="F45" s="1" t="s">
        <v>72</v>
      </c>
      <c r="G45" s="1" t="s">
        <v>73</v>
      </c>
      <c r="H45" s="1"/>
      <c r="I45" s="1">
        <v>6</v>
      </c>
      <c r="N45" s="1"/>
      <c r="O45" s="1"/>
      <c r="P45" s="1"/>
      <c r="Q45" s="1" t="s">
        <v>73</v>
      </c>
      <c r="R45" s="1" t="s">
        <v>73</v>
      </c>
      <c r="S45" s="1" t="s">
        <v>73</v>
      </c>
      <c r="T45" s="79"/>
      <c r="U45" s="79"/>
      <c r="V45" s="1"/>
      <c r="W45" s="1"/>
      <c r="X45" s="1"/>
      <c r="Y45" s="1"/>
      <c r="Z45" s="1" t="s">
        <v>72</v>
      </c>
      <c r="AA45" s="1" t="s">
        <v>73</v>
      </c>
      <c r="AC45" s="1"/>
      <c r="AE45" s="1"/>
      <c r="AF45" s="1"/>
      <c r="AK45" s="1" t="s">
        <v>73</v>
      </c>
      <c r="AL45" s="1" t="s">
        <v>72</v>
      </c>
      <c r="AM45">
        <v>6</v>
      </c>
      <c r="AN45" s="1" t="s">
        <v>72</v>
      </c>
      <c r="AO45">
        <v>6</v>
      </c>
      <c r="AP45" s="1" t="s">
        <v>73</v>
      </c>
      <c r="AR45" s="1" t="s">
        <v>72</v>
      </c>
      <c r="AS45">
        <v>6</v>
      </c>
      <c r="AT45" t="s">
        <v>73</v>
      </c>
      <c r="AW45" s="1">
        <v>64</v>
      </c>
      <c r="AX45" s="1">
        <v>4</v>
      </c>
      <c r="AY45" s="1" t="s">
        <v>72</v>
      </c>
      <c r="AZ45" s="1" t="s">
        <v>73</v>
      </c>
      <c r="BA45" s="126" t="s">
        <v>73</v>
      </c>
      <c r="BB45" s="1">
        <v>1919</v>
      </c>
      <c r="BC45" s="100">
        <v>45651.458738425928</v>
      </c>
      <c r="BD45" s="85">
        <v>45651.417071759257</v>
      </c>
      <c r="BE45" s="1" t="s">
        <v>255</v>
      </c>
      <c r="BF45" s="1" t="s">
        <v>78</v>
      </c>
      <c r="BG45" s="1" t="s">
        <v>76</v>
      </c>
      <c r="BH45" s="1" t="s">
        <v>77</v>
      </c>
      <c r="BI45" s="1" t="s">
        <v>286</v>
      </c>
      <c r="BJ45" s="1" t="s">
        <v>287</v>
      </c>
      <c r="BK45" s="1">
        <v>43</v>
      </c>
      <c r="BL45" s="1" t="s">
        <v>73</v>
      </c>
      <c r="BM45" s="1" t="s">
        <v>73</v>
      </c>
      <c r="BN45" s="1" t="s">
        <v>73</v>
      </c>
      <c r="BO45" s="1" t="s">
        <v>73</v>
      </c>
      <c r="BP45" s="1" t="s">
        <v>73</v>
      </c>
      <c r="BQ45" s="1" t="s">
        <v>73</v>
      </c>
      <c r="BR45" s="1"/>
      <c r="BS45" s="1" t="s">
        <v>73</v>
      </c>
      <c r="BT45" s="1" t="s">
        <v>73</v>
      </c>
      <c r="BU45" s="1" t="s">
        <v>73</v>
      </c>
      <c r="BV45" s="1" t="s">
        <v>73</v>
      </c>
      <c r="BW45" s="1"/>
      <c r="BX45" t="s">
        <v>73</v>
      </c>
      <c r="BY45" t="s">
        <v>73</v>
      </c>
      <c r="CB45"/>
      <c r="CC45"/>
    </row>
    <row r="46" spans="1:81" ht="16" x14ac:dyDescent="0.2">
      <c r="A46" t="s">
        <v>135</v>
      </c>
      <c r="B46" t="s">
        <v>271</v>
      </c>
      <c r="C46" t="s">
        <v>272</v>
      </c>
      <c r="D46" s="1" t="s">
        <v>73</v>
      </c>
      <c r="E46" s="1" t="s">
        <v>72</v>
      </c>
      <c r="F46" s="1" t="s">
        <v>72</v>
      </c>
      <c r="G46" s="1" t="s">
        <v>73</v>
      </c>
      <c r="H46" s="1"/>
      <c r="I46" s="1">
        <v>8</v>
      </c>
      <c r="J46">
        <v>4</v>
      </c>
      <c r="L46">
        <v>2</v>
      </c>
      <c r="N46" s="1"/>
      <c r="O46" s="1"/>
      <c r="P46" s="1"/>
      <c r="Q46" s="1" t="s">
        <v>73</v>
      </c>
      <c r="R46" s="1" t="s">
        <v>73</v>
      </c>
      <c r="S46" s="1" t="s">
        <v>73</v>
      </c>
      <c r="T46" s="79"/>
      <c r="U46" s="79"/>
      <c r="V46" s="1"/>
      <c r="W46" s="1"/>
      <c r="X46" s="1"/>
      <c r="Y46" s="1"/>
      <c r="Z46" s="1" t="s">
        <v>73</v>
      </c>
      <c r="AA46" s="1" t="s">
        <v>73</v>
      </c>
      <c r="AC46" s="1">
        <v>5</v>
      </c>
      <c r="AE46" s="1"/>
      <c r="AF46" s="1"/>
      <c r="AG46">
        <v>5</v>
      </c>
      <c r="AK46" s="1" t="s">
        <v>73</v>
      </c>
      <c r="AL46" s="1" t="s">
        <v>73</v>
      </c>
      <c r="AN46" s="1" t="s">
        <v>73</v>
      </c>
      <c r="AP46" s="1" t="s">
        <v>73</v>
      </c>
      <c r="AR46" s="1" t="s">
        <v>73</v>
      </c>
      <c r="AT46" t="s">
        <v>73</v>
      </c>
      <c r="AW46" s="1">
        <v>60</v>
      </c>
      <c r="AX46" s="1">
        <v>15</v>
      </c>
      <c r="AY46" s="1" t="s">
        <v>73</v>
      </c>
      <c r="AZ46" s="1" t="s">
        <v>73</v>
      </c>
      <c r="BA46" s="126" t="s">
        <v>73</v>
      </c>
      <c r="BB46" s="1">
        <v>1911</v>
      </c>
      <c r="BC46" s="100">
        <v>45649.735833333332</v>
      </c>
      <c r="BD46" s="85">
        <v>45656.705277777779</v>
      </c>
      <c r="BE46" s="1" t="s">
        <v>73</v>
      </c>
      <c r="BF46" s="1" t="s">
        <v>73</v>
      </c>
      <c r="BG46" s="1" t="s">
        <v>73</v>
      </c>
      <c r="BH46" s="1" t="s">
        <v>73</v>
      </c>
      <c r="BI46" s="1" t="s">
        <v>73</v>
      </c>
      <c r="BJ46" s="1" t="s">
        <v>73</v>
      </c>
      <c r="BK46" s="1"/>
      <c r="BL46" s="1" t="s">
        <v>73</v>
      </c>
      <c r="BM46" s="1" t="s">
        <v>73</v>
      </c>
      <c r="BN46" s="1" t="s">
        <v>73</v>
      </c>
      <c r="BO46" s="1" t="s">
        <v>73</v>
      </c>
      <c r="BP46" s="1" t="s">
        <v>73</v>
      </c>
      <c r="BQ46" s="1" t="s">
        <v>73</v>
      </c>
      <c r="BR46" s="1"/>
      <c r="BS46" s="1" t="s">
        <v>73</v>
      </c>
      <c r="BT46" s="1" t="s">
        <v>73</v>
      </c>
      <c r="BU46" s="1" t="s">
        <v>73</v>
      </c>
      <c r="BV46" s="1" t="s">
        <v>73</v>
      </c>
      <c r="BW46" s="1"/>
      <c r="BX46" t="s">
        <v>73</v>
      </c>
      <c r="BY46" t="s">
        <v>73</v>
      </c>
      <c r="CB46"/>
      <c r="CC46"/>
    </row>
    <row r="47" spans="1:81" ht="16" x14ac:dyDescent="0.2">
      <c r="A47" t="s">
        <v>135</v>
      </c>
      <c r="B47" t="s">
        <v>185</v>
      </c>
      <c r="C47" t="s">
        <v>133</v>
      </c>
      <c r="D47" s="1" t="s">
        <v>73</v>
      </c>
      <c r="E47" s="1" t="s">
        <v>72</v>
      </c>
      <c r="F47" s="1" t="s">
        <v>73</v>
      </c>
      <c r="G47" s="1" t="s">
        <v>73</v>
      </c>
      <c r="H47" s="1"/>
      <c r="I47" s="1">
        <v>9</v>
      </c>
      <c r="J47">
        <v>3</v>
      </c>
      <c r="L47">
        <v>3</v>
      </c>
      <c r="N47" s="1"/>
      <c r="O47" s="1"/>
      <c r="P47" s="1"/>
      <c r="Q47" s="1" t="s">
        <v>73</v>
      </c>
      <c r="R47" s="1" t="s">
        <v>73</v>
      </c>
      <c r="S47" s="1" t="s">
        <v>73</v>
      </c>
      <c r="T47" s="79"/>
      <c r="U47" s="79"/>
      <c r="V47" s="1"/>
      <c r="W47" s="1"/>
      <c r="X47" s="1"/>
      <c r="Y47" s="1"/>
      <c r="Z47" s="1" t="s">
        <v>72</v>
      </c>
      <c r="AA47" s="1" t="s">
        <v>73</v>
      </c>
      <c r="AC47" s="1">
        <v>3</v>
      </c>
      <c r="AE47" s="1"/>
      <c r="AF47" s="1"/>
      <c r="AG47">
        <v>2</v>
      </c>
      <c r="AK47" s="1" t="s">
        <v>73</v>
      </c>
      <c r="AL47" s="1" t="s">
        <v>72</v>
      </c>
      <c r="AM47">
        <v>6</v>
      </c>
      <c r="AN47" s="1" t="s">
        <v>72</v>
      </c>
      <c r="AO47">
        <v>6</v>
      </c>
      <c r="AP47" s="1" t="s">
        <v>73</v>
      </c>
      <c r="AR47" s="1" t="s">
        <v>72</v>
      </c>
      <c r="AS47">
        <v>6</v>
      </c>
      <c r="AT47" t="s">
        <v>73</v>
      </c>
      <c r="AW47" s="1">
        <v>68</v>
      </c>
      <c r="AX47" s="1">
        <v>3</v>
      </c>
      <c r="AY47" s="1" t="s">
        <v>73</v>
      </c>
      <c r="AZ47" s="1" t="s">
        <v>73</v>
      </c>
      <c r="BA47" s="126" t="s">
        <v>73</v>
      </c>
      <c r="BB47" s="1">
        <v>1903</v>
      </c>
      <c r="BC47" s="100">
        <v>45649.543437499997</v>
      </c>
      <c r="BD47" s="85">
        <v>45655.579525462963</v>
      </c>
      <c r="BE47" s="1" t="s">
        <v>133</v>
      </c>
      <c r="BF47" s="1" t="s">
        <v>78</v>
      </c>
      <c r="BG47" s="1" t="s">
        <v>76</v>
      </c>
      <c r="BH47" s="1" t="s">
        <v>252</v>
      </c>
      <c r="BI47" s="1" t="s">
        <v>273</v>
      </c>
      <c r="BJ47" s="1" t="s">
        <v>274</v>
      </c>
      <c r="BK47" s="1">
        <v>20</v>
      </c>
      <c r="BL47" s="1" t="s">
        <v>73</v>
      </c>
      <c r="BM47" s="1" t="s">
        <v>73</v>
      </c>
      <c r="BN47" s="1" t="s">
        <v>73</v>
      </c>
      <c r="BO47" s="1" t="s">
        <v>73</v>
      </c>
      <c r="BP47" s="1" t="s">
        <v>73</v>
      </c>
      <c r="BQ47" s="1" t="s">
        <v>73</v>
      </c>
      <c r="BR47" s="1"/>
      <c r="BS47" s="1" t="s">
        <v>73</v>
      </c>
      <c r="BT47" s="1" t="s">
        <v>73</v>
      </c>
      <c r="BU47" s="1" t="s">
        <v>73</v>
      </c>
      <c r="BV47" s="1" t="s">
        <v>73</v>
      </c>
      <c r="BW47" s="1"/>
      <c r="BX47" t="s">
        <v>73</v>
      </c>
      <c r="BY47" t="s">
        <v>73</v>
      </c>
      <c r="CB47"/>
      <c r="CC47"/>
    </row>
    <row r="48" spans="1:81" ht="16" x14ac:dyDescent="0.2">
      <c r="A48" t="s">
        <v>135</v>
      </c>
      <c r="B48" t="s">
        <v>262</v>
      </c>
      <c r="C48" t="s">
        <v>263</v>
      </c>
      <c r="D48" s="1" t="s">
        <v>73</v>
      </c>
      <c r="E48" s="1" t="s">
        <v>72</v>
      </c>
      <c r="F48" s="1" t="s">
        <v>72</v>
      </c>
      <c r="G48" s="1" t="s">
        <v>72</v>
      </c>
      <c r="H48" s="1" t="s">
        <v>74</v>
      </c>
      <c r="I48" s="1">
        <v>10</v>
      </c>
      <c r="L48">
        <v>3</v>
      </c>
      <c r="N48" s="1">
        <v>4</v>
      </c>
      <c r="O48" s="1"/>
      <c r="P48" s="1"/>
      <c r="Q48" s="1" t="s">
        <v>73</v>
      </c>
      <c r="R48" s="1" t="s">
        <v>73</v>
      </c>
      <c r="S48" s="1" t="s">
        <v>73</v>
      </c>
      <c r="T48" s="79">
        <v>1</v>
      </c>
      <c r="U48" s="79">
        <v>1</v>
      </c>
      <c r="V48" s="1">
        <v>1</v>
      </c>
      <c r="W48" s="1">
        <v>1</v>
      </c>
      <c r="X48" s="1">
        <v>1</v>
      </c>
      <c r="Y48" s="1">
        <v>1</v>
      </c>
      <c r="Z48" s="1" t="s">
        <v>73</v>
      </c>
      <c r="AA48" s="1" t="s">
        <v>73</v>
      </c>
      <c r="AB48">
        <v>5</v>
      </c>
      <c r="AC48" s="1">
        <v>9</v>
      </c>
      <c r="AE48" s="1">
        <v>1</v>
      </c>
      <c r="AF48" s="1"/>
      <c r="AG48">
        <v>9</v>
      </c>
      <c r="AI48">
        <v>1</v>
      </c>
      <c r="AK48" s="1" t="s">
        <v>73</v>
      </c>
      <c r="AL48" s="1" t="s">
        <v>72</v>
      </c>
      <c r="AM48">
        <v>6</v>
      </c>
      <c r="AN48" s="1" t="s">
        <v>73</v>
      </c>
      <c r="AP48" s="1" t="s">
        <v>73</v>
      </c>
      <c r="AR48" s="1" t="s">
        <v>72</v>
      </c>
      <c r="AS48">
        <v>6</v>
      </c>
      <c r="AT48" t="s">
        <v>72</v>
      </c>
      <c r="AU48">
        <v>1</v>
      </c>
      <c r="AW48" s="1">
        <v>70</v>
      </c>
      <c r="AX48" s="1">
        <v>26</v>
      </c>
      <c r="AY48" s="1" t="s">
        <v>73</v>
      </c>
      <c r="AZ48" s="1" t="s">
        <v>73</v>
      </c>
      <c r="BA48" s="126" t="s">
        <v>73</v>
      </c>
      <c r="BB48" s="1">
        <v>1898</v>
      </c>
      <c r="BC48" s="100">
        <v>45648.890462962961</v>
      </c>
      <c r="BD48" s="85">
        <v>45648.848796296297</v>
      </c>
      <c r="BE48" s="1" t="s">
        <v>73</v>
      </c>
      <c r="BF48" s="1" t="s">
        <v>73</v>
      </c>
      <c r="BG48" s="1" t="s">
        <v>73</v>
      </c>
      <c r="BH48" s="1" t="s">
        <v>73</v>
      </c>
      <c r="BI48" s="1" t="s">
        <v>73</v>
      </c>
      <c r="BJ48" s="1" t="s">
        <v>73</v>
      </c>
      <c r="BK48" s="1"/>
      <c r="BL48" s="1" t="s">
        <v>73</v>
      </c>
      <c r="BM48" s="1" t="s">
        <v>73</v>
      </c>
      <c r="BN48" s="1" t="s">
        <v>73</v>
      </c>
      <c r="BO48" s="1" t="s">
        <v>73</v>
      </c>
      <c r="BP48" s="1" t="s">
        <v>73</v>
      </c>
      <c r="BQ48" s="1" t="s">
        <v>73</v>
      </c>
      <c r="BR48" s="1"/>
      <c r="BS48" s="1" t="s">
        <v>75</v>
      </c>
      <c r="BT48" s="1" t="s">
        <v>264</v>
      </c>
      <c r="BU48" s="1" t="s">
        <v>268</v>
      </c>
      <c r="BV48" s="1" t="s">
        <v>266</v>
      </c>
      <c r="BW48" s="1">
        <v>20</v>
      </c>
      <c r="BX48" t="s">
        <v>73</v>
      </c>
      <c r="BY48" t="s">
        <v>73</v>
      </c>
      <c r="CB48"/>
      <c r="CC48"/>
    </row>
    <row r="49" spans="1:81" ht="64" x14ac:dyDescent="0.2">
      <c r="A49" t="s">
        <v>135</v>
      </c>
      <c r="B49" t="s">
        <v>259</v>
      </c>
      <c r="C49" t="s">
        <v>260</v>
      </c>
      <c r="D49" s="1" t="s">
        <v>73</v>
      </c>
      <c r="E49" s="1" t="s">
        <v>73</v>
      </c>
      <c r="F49" s="1" t="s">
        <v>72</v>
      </c>
      <c r="G49" s="1" t="s">
        <v>73</v>
      </c>
      <c r="H49" s="1"/>
      <c r="I49" s="1">
        <v>4</v>
      </c>
      <c r="N49" s="1"/>
      <c r="O49" s="1"/>
      <c r="P49" s="1"/>
      <c r="Q49" s="1" t="s">
        <v>73</v>
      </c>
      <c r="R49" s="1" t="s">
        <v>73</v>
      </c>
      <c r="S49" s="1" t="s">
        <v>73</v>
      </c>
      <c r="T49" s="79"/>
      <c r="U49" s="79"/>
      <c r="V49" s="1"/>
      <c r="W49" s="1"/>
      <c r="X49" s="1"/>
      <c r="Y49" s="1"/>
      <c r="Z49" s="1" t="s">
        <v>73</v>
      </c>
      <c r="AA49" s="1" t="s">
        <v>73</v>
      </c>
      <c r="AC49" s="1"/>
      <c r="AE49" s="1"/>
      <c r="AF49" s="1"/>
      <c r="AK49" s="1" t="s">
        <v>73</v>
      </c>
      <c r="AL49" s="1" t="s">
        <v>72</v>
      </c>
      <c r="AM49">
        <v>6</v>
      </c>
      <c r="AN49" s="1" t="s">
        <v>72</v>
      </c>
      <c r="AO49">
        <v>6</v>
      </c>
      <c r="AP49" s="1" t="s">
        <v>73</v>
      </c>
      <c r="AR49" s="1" t="s">
        <v>73</v>
      </c>
      <c r="AT49" t="s">
        <v>73</v>
      </c>
      <c r="AW49" s="1">
        <v>15</v>
      </c>
      <c r="AX49" s="1">
        <v>2</v>
      </c>
      <c r="AY49" s="1" t="s">
        <v>73</v>
      </c>
      <c r="AZ49" s="1" t="s">
        <v>73</v>
      </c>
      <c r="BA49" s="126" t="s">
        <v>261</v>
      </c>
      <c r="BB49" s="1">
        <v>1894</v>
      </c>
      <c r="BC49" s="100">
        <v>45648.812951388885</v>
      </c>
      <c r="BD49" s="85">
        <v>45648.771284722221</v>
      </c>
      <c r="BE49" s="1" t="s">
        <v>73</v>
      </c>
      <c r="BF49" s="1" t="s">
        <v>73</v>
      </c>
      <c r="BG49" s="1" t="s">
        <v>73</v>
      </c>
      <c r="BH49" s="1" t="s">
        <v>73</v>
      </c>
      <c r="BI49" s="1" t="s">
        <v>73</v>
      </c>
      <c r="BJ49" s="1" t="s">
        <v>73</v>
      </c>
      <c r="BK49" s="1"/>
      <c r="BL49" s="1" t="s">
        <v>73</v>
      </c>
      <c r="BM49" s="1" t="s">
        <v>73</v>
      </c>
      <c r="BN49" s="1" t="s">
        <v>73</v>
      </c>
      <c r="BO49" s="1" t="s">
        <v>73</v>
      </c>
      <c r="BP49" s="1" t="s">
        <v>73</v>
      </c>
      <c r="BQ49" s="1" t="s">
        <v>73</v>
      </c>
      <c r="BR49" s="1"/>
      <c r="BS49" s="1" t="s">
        <v>73</v>
      </c>
      <c r="BT49" s="1" t="s">
        <v>73</v>
      </c>
      <c r="BU49" s="1" t="s">
        <v>73</v>
      </c>
      <c r="BV49" s="1" t="s">
        <v>73</v>
      </c>
      <c r="BW49" s="1"/>
      <c r="BX49" t="s">
        <v>73</v>
      </c>
      <c r="BY49" t="s">
        <v>73</v>
      </c>
      <c r="CB49"/>
      <c r="CC49"/>
    </row>
    <row r="50" spans="1:81" ht="16" x14ac:dyDescent="0.2">
      <c r="A50" t="s">
        <v>135</v>
      </c>
      <c r="B50" t="s">
        <v>257</v>
      </c>
      <c r="C50" t="s">
        <v>258</v>
      </c>
      <c r="D50" s="1" t="s">
        <v>72</v>
      </c>
      <c r="E50" s="1" t="s">
        <v>73</v>
      </c>
      <c r="F50" s="1" t="s">
        <v>73</v>
      </c>
      <c r="G50" s="1" t="s">
        <v>73</v>
      </c>
      <c r="H50" s="1"/>
      <c r="I50" s="1"/>
      <c r="N50" s="1"/>
      <c r="O50" s="1"/>
      <c r="P50" s="1"/>
      <c r="Q50" s="1" t="s">
        <v>73</v>
      </c>
      <c r="R50" s="1" t="s">
        <v>73</v>
      </c>
      <c r="S50" s="1" t="s">
        <v>73</v>
      </c>
      <c r="T50" s="79"/>
      <c r="U50" s="79"/>
      <c r="V50" s="1"/>
      <c r="W50" s="1"/>
      <c r="X50" s="1"/>
      <c r="Y50" s="1"/>
      <c r="Z50" s="1" t="s">
        <v>73</v>
      </c>
      <c r="AA50" s="1" t="s">
        <v>73</v>
      </c>
      <c r="AC50" s="1"/>
      <c r="AE50" s="1"/>
      <c r="AF50" s="1"/>
      <c r="AK50" s="1" t="s">
        <v>73</v>
      </c>
      <c r="AL50" s="1" t="s">
        <v>73</v>
      </c>
      <c r="AN50" s="1" t="s">
        <v>73</v>
      </c>
      <c r="AP50" s="1" t="s">
        <v>73</v>
      </c>
      <c r="AR50" s="1" t="s">
        <v>73</v>
      </c>
      <c r="AT50" t="s">
        <v>73</v>
      </c>
      <c r="AW50" s="1">
        <v>4</v>
      </c>
      <c r="AX50" s="1">
        <v>0</v>
      </c>
      <c r="AY50" s="1" t="s">
        <v>73</v>
      </c>
      <c r="AZ50" s="1" t="s">
        <v>73</v>
      </c>
      <c r="BA50" s="126" t="s">
        <v>73</v>
      </c>
      <c r="BB50" s="1">
        <v>1891</v>
      </c>
      <c r="BC50" s="100">
        <v>45648.414872685185</v>
      </c>
      <c r="BD50" s="85">
        <v>45648.373206018521</v>
      </c>
      <c r="BE50" s="1" t="s">
        <v>73</v>
      </c>
      <c r="BF50" s="1" t="s">
        <v>73</v>
      </c>
      <c r="BG50" s="1" t="s">
        <v>73</v>
      </c>
      <c r="BH50" s="1" t="s">
        <v>73</v>
      </c>
      <c r="BI50" s="1" t="s">
        <v>73</v>
      </c>
      <c r="BJ50" s="1" t="s">
        <v>73</v>
      </c>
      <c r="BK50" s="1"/>
      <c r="BL50" s="1" t="s">
        <v>73</v>
      </c>
      <c r="BM50" s="1" t="s">
        <v>73</v>
      </c>
      <c r="BN50" s="1" t="s">
        <v>73</v>
      </c>
      <c r="BO50" s="1" t="s">
        <v>73</v>
      </c>
      <c r="BP50" s="1" t="s">
        <v>73</v>
      </c>
      <c r="BQ50" s="1" t="s">
        <v>73</v>
      </c>
      <c r="BR50" s="1"/>
      <c r="BS50" s="1" t="s">
        <v>73</v>
      </c>
      <c r="BT50" s="1" t="s">
        <v>73</v>
      </c>
      <c r="BU50" s="1" t="s">
        <v>73</v>
      </c>
      <c r="BV50" s="1" t="s">
        <v>73</v>
      </c>
      <c r="BW50" s="1"/>
      <c r="BX50" t="s">
        <v>73</v>
      </c>
      <c r="BY50" t="s">
        <v>73</v>
      </c>
      <c r="CB50"/>
      <c r="CC50"/>
    </row>
    <row r="51" spans="1:81" ht="16" x14ac:dyDescent="0.2">
      <c r="A51" t="s">
        <v>135</v>
      </c>
      <c r="B51" t="s">
        <v>247</v>
      </c>
      <c r="C51" t="s">
        <v>248</v>
      </c>
      <c r="D51" s="1" t="s">
        <v>73</v>
      </c>
      <c r="E51" s="1" t="s">
        <v>72</v>
      </c>
      <c r="F51" s="1" t="s">
        <v>72</v>
      </c>
      <c r="G51" s="1" t="s">
        <v>73</v>
      </c>
      <c r="H51" s="1"/>
      <c r="I51" s="1">
        <v>8</v>
      </c>
      <c r="J51">
        <v>3</v>
      </c>
      <c r="N51" s="1"/>
      <c r="O51" s="1"/>
      <c r="P51" s="1"/>
      <c r="Q51" s="1" t="s">
        <v>73</v>
      </c>
      <c r="R51" s="1" t="s">
        <v>73</v>
      </c>
      <c r="S51" s="1" t="s">
        <v>73</v>
      </c>
      <c r="T51" s="79"/>
      <c r="U51" s="79"/>
      <c r="V51" s="1"/>
      <c r="W51" s="1"/>
      <c r="X51" s="1"/>
      <c r="Y51" s="1"/>
      <c r="Z51" s="1" t="s">
        <v>73</v>
      </c>
      <c r="AA51" s="1" t="s">
        <v>73</v>
      </c>
      <c r="AC51" s="1"/>
      <c r="AE51" s="1"/>
      <c r="AF51" s="1"/>
      <c r="AK51" s="1" t="s">
        <v>73</v>
      </c>
      <c r="AL51" s="1" t="s">
        <v>73</v>
      </c>
      <c r="AN51" s="1" t="s">
        <v>73</v>
      </c>
      <c r="AP51" s="1" t="s">
        <v>73</v>
      </c>
      <c r="AR51" s="1" t="s">
        <v>73</v>
      </c>
      <c r="AT51" t="s">
        <v>73</v>
      </c>
      <c r="AW51" s="1">
        <v>35</v>
      </c>
      <c r="AX51" s="1">
        <v>4</v>
      </c>
      <c r="AY51" s="1" t="s">
        <v>73</v>
      </c>
      <c r="AZ51" s="1" t="s">
        <v>73</v>
      </c>
      <c r="BA51" s="126" t="s">
        <v>73</v>
      </c>
      <c r="BB51" s="1">
        <v>1890</v>
      </c>
      <c r="BC51" s="100">
        <v>45647.574328703704</v>
      </c>
      <c r="BD51" s="85">
        <v>45657.430625000001</v>
      </c>
      <c r="BE51" s="1" t="s">
        <v>73</v>
      </c>
      <c r="BF51" s="1" t="s">
        <v>73</v>
      </c>
      <c r="BG51" s="1" t="s">
        <v>73</v>
      </c>
      <c r="BH51" s="1" t="s">
        <v>73</v>
      </c>
      <c r="BI51" s="1" t="s">
        <v>73</v>
      </c>
      <c r="BJ51" s="1" t="s">
        <v>73</v>
      </c>
      <c r="BK51" s="1"/>
      <c r="BL51" s="1" t="s">
        <v>73</v>
      </c>
      <c r="BM51" s="1" t="s">
        <v>73</v>
      </c>
      <c r="BN51" s="1" t="s">
        <v>73</v>
      </c>
      <c r="BO51" s="1" t="s">
        <v>73</v>
      </c>
      <c r="BP51" s="1" t="s">
        <v>73</v>
      </c>
      <c r="BQ51" s="1" t="s">
        <v>73</v>
      </c>
      <c r="BR51" s="1"/>
      <c r="BS51" s="1" t="s">
        <v>73</v>
      </c>
      <c r="BT51" s="1" t="s">
        <v>73</v>
      </c>
      <c r="BU51" s="1" t="s">
        <v>73</v>
      </c>
      <c r="BV51" s="1" t="s">
        <v>73</v>
      </c>
      <c r="BW51" s="1"/>
      <c r="BX51" t="s">
        <v>73</v>
      </c>
      <c r="BY51" t="s">
        <v>73</v>
      </c>
      <c r="CB51"/>
      <c r="CC51"/>
    </row>
    <row r="52" spans="1:81" ht="176" x14ac:dyDescent="0.2">
      <c r="A52" t="s">
        <v>135</v>
      </c>
      <c r="B52" t="s">
        <v>241</v>
      </c>
      <c r="C52" t="s">
        <v>242</v>
      </c>
      <c r="D52" s="1" t="s">
        <v>73</v>
      </c>
      <c r="E52" s="1" t="s">
        <v>72</v>
      </c>
      <c r="F52" s="1" t="s">
        <v>72</v>
      </c>
      <c r="G52" s="1" t="s">
        <v>73</v>
      </c>
      <c r="H52" s="1" t="s">
        <v>72</v>
      </c>
      <c r="I52" s="1">
        <v>6</v>
      </c>
      <c r="J52">
        <v>3</v>
      </c>
      <c r="N52" s="1"/>
      <c r="O52" s="1"/>
      <c r="P52" s="1"/>
      <c r="Q52" s="1" t="s">
        <v>73</v>
      </c>
      <c r="R52" s="1" t="s">
        <v>73</v>
      </c>
      <c r="S52" s="1" t="s">
        <v>73</v>
      </c>
      <c r="T52" s="79">
        <v>1</v>
      </c>
      <c r="U52" s="79"/>
      <c r="V52" s="1"/>
      <c r="W52" s="1">
        <v>1</v>
      </c>
      <c r="X52" s="1"/>
      <c r="Y52" s="1"/>
      <c r="Z52" s="1" t="s">
        <v>73</v>
      </c>
      <c r="AA52" s="1" t="s">
        <v>73</v>
      </c>
      <c r="AB52">
        <v>7</v>
      </c>
      <c r="AC52" s="1"/>
      <c r="AE52" s="1"/>
      <c r="AF52" s="1"/>
      <c r="AK52" s="1" t="s">
        <v>73</v>
      </c>
      <c r="AL52" s="1" t="s">
        <v>72</v>
      </c>
      <c r="AM52">
        <v>6</v>
      </c>
      <c r="AN52" s="1" t="s">
        <v>72</v>
      </c>
      <c r="AO52">
        <v>6</v>
      </c>
      <c r="AP52" s="1" t="s">
        <v>73</v>
      </c>
      <c r="AR52" s="1" t="s">
        <v>72</v>
      </c>
      <c r="AS52">
        <v>6</v>
      </c>
      <c r="AT52" t="s">
        <v>72</v>
      </c>
      <c r="AU52">
        <v>4</v>
      </c>
      <c r="AV52">
        <v>5</v>
      </c>
      <c r="AW52" s="1">
        <v>46</v>
      </c>
      <c r="AX52" s="1">
        <v>18</v>
      </c>
      <c r="AY52" s="1" t="s">
        <v>73</v>
      </c>
      <c r="AZ52" s="1" t="s">
        <v>73</v>
      </c>
      <c r="BA52" s="126" t="s">
        <v>243</v>
      </c>
      <c r="BB52" s="1">
        <v>1885</v>
      </c>
      <c r="BC52" s="100">
        <v>45647.553773148145</v>
      </c>
      <c r="BD52" s="85">
        <v>45657.486215277779</v>
      </c>
      <c r="BE52" s="1" t="s">
        <v>73</v>
      </c>
      <c r="BF52" s="1" t="s">
        <v>73</v>
      </c>
      <c r="BG52" s="1" t="s">
        <v>73</v>
      </c>
      <c r="BH52" s="1" t="s">
        <v>73</v>
      </c>
      <c r="BI52" s="1" t="s">
        <v>73</v>
      </c>
      <c r="BJ52" s="1" t="s">
        <v>73</v>
      </c>
      <c r="BK52" s="1"/>
      <c r="BL52" s="1" t="s">
        <v>73</v>
      </c>
      <c r="BM52" s="1" t="s">
        <v>73</v>
      </c>
      <c r="BN52" s="1" t="s">
        <v>73</v>
      </c>
      <c r="BO52" s="1" t="s">
        <v>73</v>
      </c>
      <c r="BP52" s="1" t="s">
        <v>73</v>
      </c>
      <c r="BQ52" s="1" t="s">
        <v>73</v>
      </c>
      <c r="BR52" s="1"/>
      <c r="BS52" s="1" t="s">
        <v>169</v>
      </c>
      <c r="BT52" s="1" t="s">
        <v>356</v>
      </c>
      <c r="BU52" s="1" t="s">
        <v>357</v>
      </c>
      <c r="BV52" s="1" t="s">
        <v>358</v>
      </c>
      <c r="BW52" s="1">
        <v>8</v>
      </c>
      <c r="BX52" t="s">
        <v>73</v>
      </c>
      <c r="BY52" t="s">
        <v>73</v>
      </c>
      <c r="CB52"/>
      <c r="CC52"/>
    </row>
    <row r="53" spans="1:81" ht="16" x14ac:dyDescent="0.2">
      <c r="A53" t="s">
        <v>135</v>
      </c>
      <c r="B53" t="s">
        <v>244</v>
      </c>
      <c r="C53" t="s">
        <v>245</v>
      </c>
      <c r="D53" s="1" t="s">
        <v>73</v>
      </c>
      <c r="E53" s="1" t="s">
        <v>72</v>
      </c>
      <c r="F53" s="1" t="s">
        <v>72</v>
      </c>
      <c r="G53" s="1" t="s">
        <v>73</v>
      </c>
      <c r="H53" s="1"/>
      <c r="I53" s="1">
        <v>7</v>
      </c>
      <c r="N53" s="1"/>
      <c r="O53" s="1"/>
      <c r="P53" s="1"/>
      <c r="Q53" s="1" t="s">
        <v>73</v>
      </c>
      <c r="R53" s="1" t="s">
        <v>73</v>
      </c>
      <c r="S53" s="1" t="s">
        <v>73</v>
      </c>
      <c r="T53" s="79">
        <v>2</v>
      </c>
      <c r="U53" s="79"/>
      <c r="V53" s="1"/>
      <c r="W53" s="1">
        <v>2</v>
      </c>
      <c r="X53" s="1"/>
      <c r="Y53" s="1"/>
      <c r="Z53" s="1" t="s">
        <v>72</v>
      </c>
      <c r="AA53" s="1" t="s">
        <v>73</v>
      </c>
      <c r="AC53" s="1">
        <v>2</v>
      </c>
      <c r="AE53" s="1"/>
      <c r="AF53" s="1"/>
      <c r="AG53">
        <v>2</v>
      </c>
      <c r="AK53" s="1" t="s">
        <v>73</v>
      </c>
      <c r="AL53" s="1" t="s">
        <v>72</v>
      </c>
      <c r="AM53">
        <v>6</v>
      </c>
      <c r="AN53" s="1" t="s">
        <v>72</v>
      </c>
      <c r="AO53">
        <v>6</v>
      </c>
      <c r="AP53" s="1" t="s">
        <v>73</v>
      </c>
      <c r="AR53" s="1" t="s">
        <v>72</v>
      </c>
      <c r="AS53">
        <v>6</v>
      </c>
      <c r="AT53" t="s">
        <v>72</v>
      </c>
      <c r="AU53">
        <v>1</v>
      </c>
      <c r="AW53" s="1">
        <v>75</v>
      </c>
      <c r="AX53" s="1">
        <v>5</v>
      </c>
      <c r="AY53" s="1" t="s">
        <v>73</v>
      </c>
      <c r="AZ53" s="1" t="s">
        <v>73</v>
      </c>
      <c r="BA53" s="126" t="s">
        <v>73</v>
      </c>
      <c r="BB53" s="1">
        <v>1880</v>
      </c>
      <c r="BC53" s="100">
        <v>45647.421400462961</v>
      </c>
      <c r="BD53" s="85">
        <v>45647.441203703704</v>
      </c>
      <c r="BE53" s="1" t="s">
        <v>245</v>
      </c>
      <c r="BF53" s="1" t="s">
        <v>78</v>
      </c>
      <c r="BG53" s="1" t="s">
        <v>215</v>
      </c>
      <c r="BH53" s="1" t="s">
        <v>162</v>
      </c>
      <c r="BI53" s="1" t="s">
        <v>246</v>
      </c>
      <c r="BJ53" s="1" t="s">
        <v>246</v>
      </c>
      <c r="BK53" s="1">
        <v>35</v>
      </c>
      <c r="BL53" s="1" t="s">
        <v>73</v>
      </c>
      <c r="BM53" s="1" t="s">
        <v>73</v>
      </c>
      <c r="BN53" s="1" t="s">
        <v>73</v>
      </c>
      <c r="BO53" s="1" t="s">
        <v>73</v>
      </c>
      <c r="BP53" s="1" t="s">
        <v>73</v>
      </c>
      <c r="BQ53" s="1" t="s">
        <v>73</v>
      </c>
      <c r="BR53" s="1"/>
      <c r="BS53" s="1" t="s">
        <v>73</v>
      </c>
      <c r="BT53" s="1" t="s">
        <v>73</v>
      </c>
      <c r="BU53" s="1" t="s">
        <v>73</v>
      </c>
      <c r="BV53" s="1" t="s">
        <v>73</v>
      </c>
      <c r="BW53" s="1"/>
      <c r="BX53" t="s">
        <v>73</v>
      </c>
      <c r="BY53" t="s">
        <v>73</v>
      </c>
      <c r="CB53"/>
      <c r="CC53"/>
    </row>
    <row r="54" spans="1:81" ht="16" x14ac:dyDescent="0.2">
      <c r="A54" t="s">
        <v>135</v>
      </c>
      <c r="B54" t="s">
        <v>237</v>
      </c>
      <c r="C54" t="s">
        <v>238</v>
      </c>
      <c r="D54" s="1" t="s">
        <v>73</v>
      </c>
      <c r="E54" s="1" t="s">
        <v>72</v>
      </c>
      <c r="F54" s="1" t="s">
        <v>72</v>
      </c>
      <c r="G54" s="1" t="s">
        <v>73</v>
      </c>
      <c r="H54" s="1"/>
      <c r="I54" s="1">
        <v>4</v>
      </c>
      <c r="N54" s="1"/>
      <c r="O54" s="1"/>
      <c r="P54" s="1"/>
      <c r="Q54" s="1" t="s">
        <v>73</v>
      </c>
      <c r="R54" s="1" t="s">
        <v>73</v>
      </c>
      <c r="S54" s="1" t="s">
        <v>73</v>
      </c>
      <c r="T54" s="79"/>
      <c r="U54" s="79"/>
      <c r="V54" s="1"/>
      <c r="W54" s="1"/>
      <c r="X54" s="1"/>
      <c r="Y54" s="1"/>
      <c r="Z54" s="1" t="s">
        <v>73</v>
      </c>
      <c r="AA54" s="1" t="s">
        <v>73</v>
      </c>
      <c r="AC54" s="1"/>
      <c r="AD54">
        <v>1</v>
      </c>
      <c r="AE54" s="1"/>
      <c r="AF54" s="1"/>
      <c r="AH54">
        <v>1</v>
      </c>
      <c r="AK54" s="1" t="s">
        <v>73</v>
      </c>
      <c r="AL54" s="1" t="s">
        <v>72</v>
      </c>
      <c r="AM54">
        <v>6</v>
      </c>
      <c r="AN54" s="1" t="s">
        <v>72</v>
      </c>
      <c r="AO54">
        <v>6</v>
      </c>
      <c r="AP54" s="1" t="s">
        <v>72</v>
      </c>
      <c r="AQ54">
        <v>6</v>
      </c>
      <c r="AR54" s="1" t="s">
        <v>72</v>
      </c>
      <c r="AS54">
        <v>6</v>
      </c>
      <c r="AT54" t="s">
        <v>73</v>
      </c>
      <c r="AW54" s="1">
        <v>6</v>
      </c>
      <c r="AX54" s="1">
        <v>0</v>
      </c>
      <c r="AY54" s="1" t="s">
        <v>73</v>
      </c>
      <c r="AZ54" s="1" t="s">
        <v>73</v>
      </c>
      <c r="BA54" s="126" t="s">
        <v>73</v>
      </c>
      <c r="BB54" s="1">
        <v>1869</v>
      </c>
      <c r="BC54" s="100">
        <v>45645.398530092592</v>
      </c>
      <c r="BD54" s="85">
        <v>45645.356863425928</v>
      </c>
      <c r="BE54" s="1" t="s">
        <v>73</v>
      </c>
      <c r="BF54" s="1" t="s">
        <v>73</v>
      </c>
      <c r="BG54" s="1" t="s">
        <v>73</v>
      </c>
      <c r="BH54" s="1" t="s">
        <v>73</v>
      </c>
      <c r="BI54" s="1" t="s">
        <v>73</v>
      </c>
      <c r="BJ54" s="1" t="s">
        <v>73</v>
      </c>
      <c r="BK54" s="1"/>
      <c r="BL54" s="1" t="s">
        <v>73</v>
      </c>
      <c r="BM54" s="1" t="s">
        <v>73</v>
      </c>
      <c r="BN54" s="1" t="s">
        <v>73</v>
      </c>
      <c r="BO54" s="1" t="s">
        <v>73</v>
      </c>
      <c r="BP54" s="1" t="s">
        <v>73</v>
      </c>
      <c r="BQ54" s="1" t="s">
        <v>73</v>
      </c>
      <c r="BR54" s="1"/>
      <c r="BS54" s="1" t="s">
        <v>73</v>
      </c>
      <c r="BT54" s="1" t="s">
        <v>73</v>
      </c>
      <c r="BU54" s="1" t="s">
        <v>73</v>
      </c>
      <c r="BV54" s="1" t="s">
        <v>73</v>
      </c>
      <c r="BW54" s="1"/>
      <c r="BX54" t="s">
        <v>73</v>
      </c>
      <c r="BY54" t="s">
        <v>73</v>
      </c>
      <c r="CB54"/>
      <c r="CC54"/>
    </row>
    <row r="55" spans="1:81" ht="16" x14ac:dyDescent="0.2">
      <c r="A55" t="s">
        <v>135</v>
      </c>
      <c r="B55" t="s">
        <v>228</v>
      </c>
      <c r="C55" t="s">
        <v>229</v>
      </c>
      <c r="D55" s="1" t="s">
        <v>73</v>
      </c>
      <c r="E55" s="1" t="s">
        <v>72</v>
      </c>
      <c r="F55" s="1" t="s">
        <v>72</v>
      </c>
      <c r="G55" s="1" t="s">
        <v>73</v>
      </c>
      <c r="H55" s="1"/>
      <c r="I55" s="1">
        <v>6</v>
      </c>
      <c r="L55">
        <v>4</v>
      </c>
      <c r="N55" s="1"/>
      <c r="O55" s="1"/>
      <c r="P55" s="1"/>
      <c r="Q55" s="1" t="s">
        <v>73</v>
      </c>
      <c r="R55" s="1" t="s">
        <v>73</v>
      </c>
      <c r="S55" s="1" t="s">
        <v>73</v>
      </c>
      <c r="T55" s="79"/>
      <c r="U55" s="79"/>
      <c r="V55" s="1"/>
      <c r="W55" s="1"/>
      <c r="X55" s="1"/>
      <c r="Y55" s="1"/>
      <c r="Z55" s="1" t="s">
        <v>73</v>
      </c>
      <c r="AA55" s="1" t="s">
        <v>73</v>
      </c>
      <c r="AC55" s="1">
        <v>5</v>
      </c>
      <c r="AE55" s="1"/>
      <c r="AF55" s="1"/>
      <c r="AG55">
        <v>2</v>
      </c>
      <c r="AK55" s="1" t="s">
        <v>73</v>
      </c>
      <c r="AL55" s="1" t="s">
        <v>72</v>
      </c>
      <c r="AM55">
        <v>4</v>
      </c>
      <c r="AN55" s="1" t="s">
        <v>72</v>
      </c>
      <c r="AO55">
        <v>4</v>
      </c>
      <c r="AP55" s="1" t="s">
        <v>73</v>
      </c>
      <c r="AR55" s="1" t="s">
        <v>73</v>
      </c>
      <c r="AT55" t="s">
        <v>73</v>
      </c>
      <c r="AW55" s="1">
        <v>50</v>
      </c>
      <c r="AX55" s="1">
        <v>15</v>
      </c>
      <c r="AY55" s="1" t="s">
        <v>73</v>
      </c>
      <c r="AZ55" s="1" t="s">
        <v>73</v>
      </c>
      <c r="BA55" s="126" t="s">
        <v>73</v>
      </c>
      <c r="BB55" s="1">
        <v>1867</v>
      </c>
      <c r="BC55" s="100">
        <v>45644.860902777778</v>
      </c>
      <c r="BD55" s="85">
        <v>45649.548842592594</v>
      </c>
      <c r="BE55" s="1" t="s">
        <v>73</v>
      </c>
      <c r="BF55" s="1" t="s">
        <v>73</v>
      </c>
      <c r="BG55" s="1" t="s">
        <v>73</v>
      </c>
      <c r="BH55" s="1" t="s">
        <v>73</v>
      </c>
      <c r="BI55" s="1" t="s">
        <v>73</v>
      </c>
      <c r="BJ55" s="1" t="s">
        <v>73</v>
      </c>
      <c r="BK55" s="1"/>
      <c r="BL55" s="1" t="s">
        <v>73</v>
      </c>
      <c r="BM55" s="1" t="s">
        <v>73</v>
      </c>
      <c r="BN55" s="1" t="s">
        <v>73</v>
      </c>
      <c r="BO55" s="1" t="s">
        <v>73</v>
      </c>
      <c r="BP55" s="1" t="s">
        <v>73</v>
      </c>
      <c r="BQ55" s="1" t="s">
        <v>73</v>
      </c>
      <c r="BR55" s="1"/>
      <c r="BS55" s="1" t="s">
        <v>73</v>
      </c>
      <c r="BT55" s="1" t="s">
        <v>73</v>
      </c>
      <c r="BU55" s="1" t="s">
        <v>73</v>
      </c>
      <c r="BV55" s="1" t="s">
        <v>73</v>
      </c>
      <c r="BW55" s="1"/>
      <c r="BX55" t="s">
        <v>73</v>
      </c>
      <c r="BY55" t="s">
        <v>73</v>
      </c>
      <c r="CB55"/>
      <c r="CC55"/>
    </row>
    <row r="56" spans="1:81" ht="16" x14ac:dyDescent="0.2">
      <c r="A56" t="s">
        <v>135</v>
      </c>
      <c r="B56" t="s">
        <v>226</v>
      </c>
      <c r="C56" t="s">
        <v>227</v>
      </c>
      <c r="D56" s="1" t="s">
        <v>73</v>
      </c>
      <c r="E56" s="1" t="s">
        <v>72</v>
      </c>
      <c r="F56" s="1" t="s">
        <v>72</v>
      </c>
      <c r="G56" s="1" t="s">
        <v>73</v>
      </c>
      <c r="H56" s="1"/>
      <c r="I56" s="1">
        <v>5</v>
      </c>
      <c r="N56" s="1"/>
      <c r="O56" s="1"/>
      <c r="P56" s="1"/>
      <c r="Q56" s="1" t="s">
        <v>73</v>
      </c>
      <c r="R56" s="1" t="s">
        <v>73</v>
      </c>
      <c r="S56" s="1" t="s">
        <v>73</v>
      </c>
      <c r="T56" s="79"/>
      <c r="U56" s="79"/>
      <c r="V56" s="1"/>
      <c r="W56" s="1"/>
      <c r="X56" s="1"/>
      <c r="Y56" s="1"/>
      <c r="Z56" s="1" t="s">
        <v>73</v>
      </c>
      <c r="AA56" s="1" t="s">
        <v>73</v>
      </c>
      <c r="AC56" s="1"/>
      <c r="AE56" s="1"/>
      <c r="AF56" s="1"/>
      <c r="AK56" s="1" t="s">
        <v>72</v>
      </c>
      <c r="AL56" s="1" t="s">
        <v>72</v>
      </c>
      <c r="AM56">
        <v>5</v>
      </c>
      <c r="AN56" s="1" t="s">
        <v>72</v>
      </c>
      <c r="AO56">
        <v>5</v>
      </c>
      <c r="AP56" s="1" t="s">
        <v>73</v>
      </c>
      <c r="AR56" s="1" t="s">
        <v>72</v>
      </c>
      <c r="AS56">
        <v>5</v>
      </c>
      <c r="AT56" t="s">
        <v>73</v>
      </c>
      <c r="AW56" s="1">
        <v>40</v>
      </c>
      <c r="AX56" s="1">
        <v>1</v>
      </c>
      <c r="AY56" s="1" t="s">
        <v>73</v>
      </c>
      <c r="AZ56" s="1" t="s">
        <v>73</v>
      </c>
      <c r="BA56" s="126" t="s">
        <v>73</v>
      </c>
      <c r="BB56" s="1">
        <v>1864</v>
      </c>
      <c r="BC56" s="100">
        <v>45644.82234953704</v>
      </c>
      <c r="BD56" s="85">
        <v>45644.780682870369</v>
      </c>
      <c r="BE56" s="1" t="s">
        <v>73</v>
      </c>
      <c r="BF56" s="1" t="s">
        <v>73</v>
      </c>
      <c r="BG56" s="1" t="s">
        <v>73</v>
      </c>
      <c r="BH56" s="1" t="s">
        <v>73</v>
      </c>
      <c r="BI56" s="1" t="s">
        <v>73</v>
      </c>
      <c r="BJ56" s="1" t="s">
        <v>73</v>
      </c>
      <c r="BK56" s="1"/>
      <c r="BL56" s="1" t="s">
        <v>73</v>
      </c>
      <c r="BM56" s="1" t="s">
        <v>73</v>
      </c>
      <c r="BN56" s="1" t="s">
        <v>73</v>
      </c>
      <c r="BO56" s="1" t="s">
        <v>73</v>
      </c>
      <c r="BP56" s="1" t="s">
        <v>73</v>
      </c>
      <c r="BQ56" s="1" t="s">
        <v>73</v>
      </c>
      <c r="BR56" s="1"/>
      <c r="BS56" s="1" t="s">
        <v>73</v>
      </c>
      <c r="BT56" s="1" t="s">
        <v>73</v>
      </c>
      <c r="BU56" s="1" t="s">
        <v>73</v>
      </c>
      <c r="BV56" s="1" t="s">
        <v>73</v>
      </c>
      <c r="BW56" s="1"/>
      <c r="BX56" t="s">
        <v>73</v>
      </c>
      <c r="BY56" t="s">
        <v>73</v>
      </c>
      <c r="CB56"/>
      <c r="CC56"/>
    </row>
    <row r="57" spans="1:81" ht="16" x14ac:dyDescent="0.2">
      <c r="A57" t="s">
        <v>135</v>
      </c>
      <c r="B57" t="s">
        <v>205</v>
      </c>
      <c r="C57" t="s">
        <v>206</v>
      </c>
      <c r="D57" s="1" t="s">
        <v>73</v>
      </c>
      <c r="E57" s="1" t="s">
        <v>72</v>
      </c>
      <c r="F57" s="1" t="s">
        <v>73</v>
      </c>
      <c r="G57" s="1" t="s">
        <v>73</v>
      </c>
      <c r="H57" s="1"/>
      <c r="I57" s="1">
        <v>6</v>
      </c>
      <c r="J57">
        <v>6</v>
      </c>
      <c r="L57">
        <v>4</v>
      </c>
      <c r="N57" s="1"/>
      <c r="O57" s="1"/>
      <c r="P57" s="1"/>
      <c r="Q57" s="1" t="s">
        <v>73</v>
      </c>
      <c r="R57" s="1" t="s">
        <v>73</v>
      </c>
      <c r="S57" s="1" t="s">
        <v>73</v>
      </c>
      <c r="T57" s="79"/>
      <c r="U57" s="79"/>
      <c r="V57" s="1"/>
      <c r="W57" s="1"/>
      <c r="X57" s="1"/>
      <c r="Y57" s="1"/>
      <c r="Z57" s="1" t="s">
        <v>73</v>
      </c>
      <c r="AA57" s="1" t="s">
        <v>73</v>
      </c>
      <c r="AC57" s="1"/>
      <c r="AE57" s="1"/>
      <c r="AF57" s="1"/>
      <c r="AK57" s="1" t="s">
        <v>73</v>
      </c>
      <c r="AL57" s="1" t="s">
        <v>72</v>
      </c>
      <c r="AM57">
        <v>6</v>
      </c>
      <c r="AN57" s="1" t="s">
        <v>72</v>
      </c>
      <c r="AO57">
        <v>6</v>
      </c>
      <c r="AP57" s="1" t="s">
        <v>73</v>
      </c>
      <c r="AR57" s="1" t="s">
        <v>72</v>
      </c>
      <c r="AS57">
        <v>6</v>
      </c>
      <c r="AT57" t="s">
        <v>72</v>
      </c>
      <c r="AU57">
        <v>2</v>
      </c>
      <c r="AW57" s="1">
        <v>100</v>
      </c>
      <c r="AX57" s="1">
        <v>8</v>
      </c>
      <c r="AY57" s="1" t="s">
        <v>72</v>
      </c>
      <c r="AZ57" s="1" t="s">
        <v>73</v>
      </c>
      <c r="BA57" s="126" t="s">
        <v>73</v>
      </c>
      <c r="BB57" s="1">
        <v>1859</v>
      </c>
      <c r="BC57" s="100">
        <v>45644.468113425923</v>
      </c>
      <c r="BD57" s="85">
        <v>45644.426446759258</v>
      </c>
      <c r="BE57" s="1" t="s">
        <v>73</v>
      </c>
      <c r="BF57" s="1" t="s">
        <v>73</v>
      </c>
      <c r="BG57" s="1" t="s">
        <v>73</v>
      </c>
      <c r="BH57" s="1" t="s">
        <v>73</v>
      </c>
      <c r="BI57" s="1" t="s">
        <v>73</v>
      </c>
      <c r="BJ57" s="1" t="s">
        <v>73</v>
      </c>
      <c r="BK57" s="1"/>
      <c r="BL57" s="1" t="s">
        <v>73</v>
      </c>
      <c r="BM57" s="1" t="s">
        <v>73</v>
      </c>
      <c r="BN57" s="1" t="s">
        <v>73</v>
      </c>
      <c r="BO57" s="1" t="s">
        <v>73</v>
      </c>
      <c r="BP57" s="1" t="s">
        <v>73</v>
      </c>
      <c r="BQ57" s="1" t="s">
        <v>73</v>
      </c>
      <c r="BR57" s="1"/>
      <c r="BS57" s="1" t="s">
        <v>73</v>
      </c>
      <c r="BT57" s="1" t="s">
        <v>73</v>
      </c>
      <c r="BU57" s="1" t="s">
        <v>73</v>
      </c>
      <c r="BV57" s="1" t="s">
        <v>73</v>
      </c>
      <c r="BW57" s="1"/>
      <c r="BX57" t="s">
        <v>73</v>
      </c>
      <c r="BY57" t="s">
        <v>73</v>
      </c>
      <c r="CB57"/>
      <c r="CC57"/>
    </row>
    <row r="58" spans="1:81" ht="16" x14ac:dyDescent="0.2">
      <c r="A58" t="s">
        <v>135</v>
      </c>
      <c r="B58" t="s">
        <v>212</v>
      </c>
      <c r="C58" t="s">
        <v>213</v>
      </c>
      <c r="D58" s="1" t="s">
        <v>73</v>
      </c>
      <c r="E58" s="1" t="s">
        <v>72</v>
      </c>
      <c r="F58" s="1" t="s">
        <v>72</v>
      </c>
      <c r="G58" s="1" t="s">
        <v>73</v>
      </c>
      <c r="H58" s="1"/>
      <c r="I58" s="1">
        <v>6</v>
      </c>
      <c r="N58" s="1"/>
      <c r="O58" s="1"/>
      <c r="P58" s="1"/>
      <c r="Q58" s="1" t="s">
        <v>73</v>
      </c>
      <c r="R58" s="1" t="s">
        <v>73</v>
      </c>
      <c r="S58" s="1" t="s">
        <v>73</v>
      </c>
      <c r="T58" s="79"/>
      <c r="U58" s="79"/>
      <c r="V58" s="1"/>
      <c r="W58" s="1"/>
      <c r="X58" s="1"/>
      <c r="Y58" s="1"/>
      <c r="Z58" s="1" t="s">
        <v>73</v>
      </c>
      <c r="AA58" s="1" t="s">
        <v>73</v>
      </c>
      <c r="AC58" s="1"/>
      <c r="AE58" s="1"/>
      <c r="AF58" s="1"/>
      <c r="AK58" s="1" t="s">
        <v>73</v>
      </c>
      <c r="AL58" s="1" t="s">
        <v>72</v>
      </c>
      <c r="AM58">
        <v>6</v>
      </c>
      <c r="AN58" s="1" t="s">
        <v>72</v>
      </c>
      <c r="AO58">
        <v>6</v>
      </c>
      <c r="AP58" s="1" t="s">
        <v>73</v>
      </c>
      <c r="AR58" s="1" t="s">
        <v>72</v>
      </c>
      <c r="AS58">
        <v>6</v>
      </c>
      <c r="AT58" t="s">
        <v>73</v>
      </c>
      <c r="AW58" s="1">
        <v>40</v>
      </c>
      <c r="AX58" s="1">
        <v>2</v>
      </c>
      <c r="AY58" s="1" t="s">
        <v>72</v>
      </c>
      <c r="AZ58" s="1" t="s">
        <v>73</v>
      </c>
      <c r="BA58" s="126" t="s">
        <v>73</v>
      </c>
      <c r="BB58" s="1">
        <v>1857</v>
      </c>
      <c r="BC58" s="100">
        <v>45643.901631944442</v>
      </c>
      <c r="BD58" s="85">
        <v>45643.859965277778</v>
      </c>
      <c r="BE58" s="1" t="s">
        <v>73</v>
      </c>
      <c r="BF58" s="1" t="s">
        <v>73</v>
      </c>
      <c r="BG58" s="1" t="s">
        <v>73</v>
      </c>
      <c r="BH58" s="1" t="s">
        <v>73</v>
      </c>
      <c r="BI58" s="1" t="s">
        <v>73</v>
      </c>
      <c r="BJ58" s="1" t="s">
        <v>73</v>
      </c>
      <c r="BK58" s="1"/>
      <c r="BL58" s="1" t="s">
        <v>73</v>
      </c>
      <c r="BM58" s="1" t="s">
        <v>73</v>
      </c>
      <c r="BN58" s="1" t="s">
        <v>73</v>
      </c>
      <c r="BO58" s="1" t="s">
        <v>73</v>
      </c>
      <c r="BP58" s="1" t="s">
        <v>73</v>
      </c>
      <c r="BQ58" s="1" t="s">
        <v>73</v>
      </c>
      <c r="BR58" s="1"/>
      <c r="BS58" s="1" t="s">
        <v>73</v>
      </c>
      <c r="BT58" s="1" t="s">
        <v>73</v>
      </c>
      <c r="BU58" s="1" t="s">
        <v>73</v>
      </c>
      <c r="BV58" s="1" t="s">
        <v>73</v>
      </c>
      <c r="BW58" s="1"/>
      <c r="BX58" t="s">
        <v>73</v>
      </c>
      <c r="BY58" t="s">
        <v>73</v>
      </c>
      <c r="CB58"/>
      <c r="CC58"/>
    </row>
    <row r="59" spans="1:81" ht="80" x14ac:dyDescent="0.2">
      <c r="A59" t="s">
        <v>135</v>
      </c>
      <c r="B59" t="s">
        <v>207</v>
      </c>
      <c r="C59" t="s">
        <v>236</v>
      </c>
      <c r="D59" s="1" t="s">
        <v>73</v>
      </c>
      <c r="E59" s="1" t="s">
        <v>72</v>
      </c>
      <c r="F59" s="1" t="s">
        <v>72</v>
      </c>
      <c r="G59" s="1" t="s">
        <v>73</v>
      </c>
      <c r="H59" s="1"/>
      <c r="I59" s="1"/>
      <c r="N59" s="1"/>
      <c r="O59" s="1"/>
      <c r="P59" s="1"/>
      <c r="Q59" s="1" t="s">
        <v>73</v>
      </c>
      <c r="R59" s="1" t="s">
        <v>73</v>
      </c>
      <c r="S59" s="1" t="s">
        <v>73</v>
      </c>
      <c r="T59" s="79"/>
      <c r="U59" s="79"/>
      <c r="V59" s="1"/>
      <c r="W59" s="1"/>
      <c r="X59" s="1"/>
      <c r="Y59" s="1"/>
      <c r="Z59" s="1" t="s">
        <v>73</v>
      </c>
      <c r="AA59" s="1" t="s">
        <v>73</v>
      </c>
      <c r="AC59" s="1"/>
      <c r="AE59" s="1"/>
      <c r="AF59" s="1"/>
      <c r="AK59" s="1" t="s">
        <v>73</v>
      </c>
      <c r="AL59" s="1" t="s">
        <v>73</v>
      </c>
      <c r="AN59" s="1" t="s">
        <v>73</v>
      </c>
      <c r="AP59" s="1" t="s">
        <v>73</v>
      </c>
      <c r="AR59" s="1" t="s">
        <v>73</v>
      </c>
      <c r="AT59" t="s">
        <v>73</v>
      </c>
      <c r="AW59" s="1">
        <v>76</v>
      </c>
      <c r="AX59" s="1">
        <v>21</v>
      </c>
      <c r="AY59" s="1" t="s">
        <v>73</v>
      </c>
      <c r="AZ59" s="1" t="s">
        <v>73</v>
      </c>
      <c r="BA59" s="126" t="s">
        <v>214</v>
      </c>
      <c r="BB59" s="1">
        <v>1855</v>
      </c>
      <c r="BC59" s="100">
        <v>45643.499814814815</v>
      </c>
      <c r="BD59" s="85">
        <v>45646.44494212963</v>
      </c>
      <c r="BE59" s="1" t="s">
        <v>73</v>
      </c>
      <c r="BF59" s="1" t="s">
        <v>73</v>
      </c>
      <c r="BG59" s="1" t="s">
        <v>73</v>
      </c>
      <c r="BH59" s="1" t="s">
        <v>73</v>
      </c>
      <c r="BI59" s="1" t="s">
        <v>73</v>
      </c>
      <c r="BJ59" s="1" t="s">
        <v>73</v>
      </c>
      <c r="BK59" s="1"/>
      <c r="BL59" s="1" t="s">
        <v>73</v>
      </c>
      <c r="BM59" s="1" t="s">
        <v>73</v>
      </c>
      <c r="BN59" s="1" t="s">
        <v>73</v>
      </c>
      <c r="BO59" s="1" t="s">
        <v>73</v>
      </c>
      <c r="BP59" s="1" t="s">
        <v>73</v>
      </c>
      <c r="BQ59" s="1" t="s">
        <v>73</v>
      </c>
      <c r="BR59" s="1"/>
      <c r="BS59" s="1" t="s">
        <v>73</v>
      </c>
      <c r="BT59" s="1" t="s">
        <v>73</v>
      </c>
      <c r="BU59" s="1" t="s">
        <v>73</v>
      </c>
      <c r="BV59" s="1" t="s">
        <v>73</v>
      </c>
      <c r="BW59" s="1"/>
      <c r="BX59" t="s">
        <v>73</v>
      </c>
      <c r="BY59" t="s">
        <v>73</v>
      </c>
      <c r="CB59"/>
      <c r="CC59"/>
    </row>
    <row r="60" spans="1:81" ht="208" x14ac:dyDescent="0.2">
      <c r="A60" t="s">
        <v>135</v>
      </c>
      <c r="B60" t="s">
        <v>175</v>
      </c>
      <c r="C60" t="s">
        <v>155</v>
      </c>
      <c r="D60" s="1" t="s">
        <v>73</v>
      </c>
      <c r="E60" s="1" t="s">
        <v>72</v>
      </c>
      <c r="F60" s="1" t="s">
        <v>73</v>
      </c>
      <c r="G60" s="1" t="s">
        <v>73</v>
      </c>
      <c r="H60" s="1"/>
      <c r="I60" s="1">
        <v>8</v>
      </c>
      <c r="N60" s="1"/>
      <c r="O60" s="1"/>
      <c r="P60" s="1"/>
      <c r="Q60" s="1" t="s">
        <v>73</v>
      </c>
      <c r="R60" s="1" t="s">
        <v>73</v>
      </c>
      <c r="S60" s="1" t="s">
        <v>73</v>
      </c>
      <c r="T60" s="79"/>
      <c r="U60" s="79"/>
      <c r="V60" s="1"/>
      <c r="W60" s="1"/>
      <c r="X60" s="1"/>
      <c r="Y60" s="1"/>
      <c r="Z60" s="1" t="s">
        <v>73</v>
      </c>
      <c r="AA60" s="1" t="s">
        <v>73</v>
      </c>
      <c r="AC60" s="1"/>
      <c r="AE60" s="1"/>
      <c r="AF60" s="1"/>
      <c r="AK60" s="1" t="s">
        <v>73</v>
      </c>
      <c r="AL60" s="1" t="s">
        <v>73</v>
      </c>
      <c r="AN60" s="1" t="s">
        <v>73</v>
      </c>
      <c r="AP60" s="1" t="s">
        <v>73</v>
      </c>
      <c r="AR60" s="1" t="s">
        <v>73</v>
      </c>
      <c r="AT60" t="s">
        <v>73</v>
      </c>
      <c r="AW60" s="1">
        <v>12</v>
      </c>
      <c r="AX60" s="1">
        <v>0</v>
      </c>
      <c r="AY60" s="1" t="s">
        <v>73</v>
      </c>
      <c r="AZ60" s="1" t="s">
        <v>73</v>
      </c>
      <c r="BA60" s="126" t="s">
        <v>156</v>
      </c>
      <c r="BB60" s="1">
        <v>1821</v>
      </c>
      <c r="BC60" s="100">
        <v>45635.785624999997</v>
      </c>
      <c r="BD60" s="85">
        <v>45635.750081018516</v>
      </c>
      <c r="BE60" s="1" t="s">
        <v>73</v>
      </c>
      <c r="BF60" s="1" t="s">
        <v>73</v>
      </c>
      <c r="BG60" s="1" t="s">
        <v>73</v>
      </c>
      <c r="BH60" s="1" t="s">
        <v>73</v>
      </c>
      <c r="BI60" s="1" t="s">
        <v>73</v>
      </c>
      <c r="BJ60" s="1" t="s">
        <v>73</v>
      </c>
      <c r="BK60" s="1"/>
      <c r="BL60" s="1" t="s">
        <v>73</v>
      </c>
      <c r="BM60" s="1" t="s">
        <v>73</v>
      </c>
      <c r="BN60" s="1" t="s">
        <v>73</v>
      </c>
      <c r="BO60" s="1" t="s">
        <v>73</v>
      </c>
      <c r="BP60" s="1" t="s">
        <v>73</v>
      </c>
      <c r="BQ60" s="1" t="s">
        <v>73</v>
      </c>
      <c r="BR60" s="1"/>
      <c r="BS60" s="1" t="s">
        <v>73</v>
      </c>
      <c r="BT60" s="1" t="s">
        <v>73</v>
      </c>
      <c r="BU60" s="1" t="s">
        <v>73</v>
      </c>
      <c r="BV60" s="1" t="s">
        <v>73</v>
      </c>
      <c r="BW60" s="1"/>
      <c r="BX60" t="s">
        <v>73</v>
      </c>
      <c r="BY60" t="s">
        <v>73</v>
      </c>
      <c r="CB60"/>
      <c r="CC60"/>
    </row>
    <row r="61" spans="1:81" ht="16" x14ac:dyDescent="0.2">
      <c r="A61" t="s">
        <v>135</v>
      </c>
      <c r="B61" t="s">
        <v>176</v>
      </c>
      <c r="C61" t="s">
        <v>149</v>
      </c>
      <c r="D61" s="1" t="s">
        <v>73</v>
      </c>
      <c r="E61" s="1" t="s">
        <v>72</v>
      </c>
      <c r="F61" s="1" t="s">
        <v>73</v>
      </c>
      <c r="G61" s="1" t="s">
        <v>73</v>
      </c>
      <c r="H61" s="1"/>
      <c r="I61" s="1">
        <v>6</v>
      </c>
      <c r="N61" s="1"/>
      <c r="O61" s="1"/>
      <c r="P61" s="1"/>
      <c r="Q61" s="1" t="s">
        <v>73</v>
      </c>
      <c r="R61" s="1" t="s">
        <v>73</v>
      </c>
      <c r="S61" s="1" t="s">
        <v>73</v>
      </c>
      <c r="T61" s="79"/>
      <c r="U61" s="79"/>
      <c r="V61" s="1"/>
      <c r="W61" s="1"/>
      <c r="X61" s="1"/>
      <c r="Y61" s="1"/>
      <c r="Z61" s="1" t="s">
        <v>73</v>
      </c>
      <c r="AA61" s="1" t="s">
        <v>73</v>
      </c>
      <c r="AC61" s="1"/>
      <c r="AE61" s="1"/>
      <c r="AF61" s="1"/>
      <c r="AK61" s="1" t="s">
        <v>73</v>
      </c>
      <c r="AL61" s="1" t="s">
        <v>72</v>
      </c>
      <c r="AM61">
        <v>4</v>
      </c>
      <c r="AN61" s="1" t="s">
        <v>73</v>
      </c>
      <c r="AP61" s="1" t="s">
        <v>73</v>
      </c>
      <c r="AR61" s="1" t="s">
        <v>73</v>
      </c>
      <c r="AT61" t="s">
        <v>73</v>
      </c>
      <c r="AW61" s="1">
        <v>35</v>
      </c>
      <c r="AX61" s="1">
        <v>2</v>
      </c>
      <c r="AY61" s="1" t="s">
        <v>73</v>
      </c>
      <c r="AZ61" s="1" t="s">
        <v>73</v>
      </c>
      <c r="BA61" s="126" t="s">
        <v>73</v>
      </c>
      <c r="BB61" s="1">
        <v>1815</v>
      </c>
      <c r="BC61" s="100">
        <v>45634.680821759262</v>
      </c>
      <c r="BD61" s="85">
        <v>45634.639155092591</v>
      </c>
      <c r="BE61" s="1" t="s">
        <v>73</v>
      </c>
      <c r="BF61" s="1" t="s">
        <v>73</v>
      </c>
      <c r="BG61" s="1" t="s">
        <v>73</v>
      </c>
      <c r="BH61" s="1" t="s">
        <v>73</v>
      </c>
      <c r="BI61" s="1" t="s">
        <v>73</v>
      </c>
      <c r="BJ61" s="1" t="s">
        <v>73</v>
      </c>
      <c r="BK61" s="1"/>
      <c r="BL61" s="1" t="s">
        <v>73</v>
      </c>
      <c r="BM61" s="1" t="s">
        <v>73</v>
      </c>
      <c r="BN61" s="1" t="s">
        <v>73</v>
      </c>
      <c r="BO61" s="1" t="s">
        <v>73</v>
      </c>
      <c r="BP61" s="1" t="s">
        <v>73</v>
      </c>
      <c r="BQ61" s="1" t="s">
        <v>73</v>
      </c>
      <c r="BR61" s="1"/>
      <c r="BS61" s="1" t="s">
        <v>73</v>
      </c>
      <c r="BT61" s="1" t="s">
        <v>73</v>
      </c>
      <c r="BU61" s="1" t="s">
        <v>73</v>
      </c>
      <c r="BV61" s="1" t="s">
        <v>73</v>
      </c>
      <c r="BW61" s="1"/>
      <c r="BX61" t="s">
        <v>73</v>
      </c>
      <c r="BY61" t="s">
        <v>73</v>
      </c>
      <c r="CB61"/>
      <c r="CC61"/>
    </row>
    <row r="62" spans="1:81" ht="16" x14ac:dyDescent="0.2">
      <c r="A62" t="s">
        <v>135</v>
      </c>
      <c r="B62" t="s">
        <v>177</v>
      </c>
      <c r="C62" t="s">
        <v>148</v>
      </c>
      <c r="D62" s="1" t="s">
        <v>73</v>
      </c>
      <c r="E62" s="1" t="s">
        <v>72</v>
      </c>
      <c r="F62" s="1" t="s">
        <v>72</v>
      </c>
      <c r="G62" s="1" t="s">
        <v>73</v>
      </c>
      <c r="H62" s="1"/>
      <c r="I62" s="1">
        <v>4</v>
      </c>
      <c r="L62">
        <v>3</v>
      </c>
      <c r="N62" s="1"/>
      <c r="O62" s="1"/>
      <c r="P62" s="1"/>
      <c r="Q62" s="1" t="s">
        <v>73</v>
      </c>
      <c r="R62" s="1" t="s">
        <v>73</v>
      </c>
      <c r="S62" s="1" t="s">
        <v>73</v>
      </c>
      <c r="T62" s="79"/>
      <c r="U62" s="79"/>
      <c r="V62" s="1"/>
      <c r="W62" s="1"/>
      <c r="X62" s="1"/>
      <c r="Y62" s="1"/>
      <c r="Z62" s="1" t="s">
        <v>73</v>
      </c>
      <c r="AA62" s="1" t="s">
        <v>73</v>
      </c>
      <c r="AC62" s="1"/>
      <c r="AE62" s="1"/>
      <c r="AF62" s="1"/>
      <c r="AK62" s="1" t="s">
        <v>73</v>
      </c>
      <c r="AL62" s="1" t="s">
        <v>72</v>
      </c>
      <c r="AM62">
        <v>4</v>
      </c>
      <c r="AN62" s="1" t="s">
        <v>72</v>
      </c>
      <c r="AO62">
        <v>4</v>
      </c>
      <c r="AP62" s="1" t="s">
        <v>73</v>
      </c>
      <c r="AR62" s="1" t="s">
        <v>72</v>
      </c>
      <c r="AS62">
        <v>4</v>
      </c>
      <c r="AT62" t="s">
        <v>73</v>
      </c>
      <c r="AW62" s="1">
        <v>50</v>
      </c>
      <c r="AX62" s="1">
        <v>3</v>
      </c>
      <c r="AY62" s="1" t="s">
        <v>73</v>
      </c>
      <c r="AZ62" s="1" t="s">
        <v>73</v>
      </c>
      <c r="BA62" s="126" t="s">
        <v>73</v>
      </c>
      <c r="BB62" s="1">
        <v>1814</v>
      </c>
      <c r="BC62" s="100">
        <v>45631.918958333335</v>
      </c>
      <c r="BD62" s="85">
        <v>45631.877291666664</v>
      </c>
      <c r="BE62" s="1" t="s">
        <v>73</v>
      </c>
      <c r="BF62" s="1" t="s">
        <v>73</v>
      </c>
      <c r="BG62" s="1" t="s">
        <v>73</v>
      </c>
      <c r="BH62" s="1" t="s">
        <v>73</v>
      </c>
      <c r="BI62" s="1" t="s">
        <v>73</v>
      </c>
      <c r="BJ62" s="1" t="s">
        <v>73</v>
      </c>
      <c r="BK62" s="1"/>
      <c r="BL62" s="1" t="s">
        <v>73</v>
      </c>
      <c r="BM62" s="1" t="s">
        <v>73</v>
      </c>
      <c r="BN62" s="1" t="s">
        <v>73</v>
      </c>
      <c r="BO62" s="1" t="s">
        <v>73</v>
      </c>
      <c r="BP62" s="1" t="s">
        <v>73</v>
      </c>
      <c r="BQ62" s="1" t="s">
        <v>73</v>
      </c>
      <c r="BR62" s="1"/>
      <c r="BS62" s="1" t="s">
        <v>73</v>
      </c>
      <c r="BT62" s="1" t="s">
        <v>73</v>
      </c>
      <c r="BU62" s="1" t="s">
        <v>73</v>
      </c>
      <c r="BV62" s="1" t="s">
        <v>73</v>
      </c>
      <c r="BW62" s="1"/>
      <c r="BX62" t="s">
        <v>73</v>
      </c>
      <c r="BY62" t="s">
        <v>73</v>
      </c>
      <c r="CB62"/>
      <c r="CC62"/>
    </row>
    <row r="63" spans="1:81" ht="16" x14ac:dyDescent="0.2">
      <c r="A63" t="s">
        <v>135</v>
      </c>
      <c r="B63" t="s">
        <v>178</v>
      </c>
      <c r="C63" t="s">
        <v>132</v>
      </c>
      <c r="D63" s="1" t="s">
        <v>73</v>
      </c>
      <c r="E63" s="1" t="s">
        <v>72</v>
      </c>
      <c r="F63" s="1" t="s">
        <v>72</v>
      </c>
      <c r="G63" s="1" t="s">
        <v>73</v>
      </c>
      <c r="H63" s="1"/>
      <c r="I63" s="1"/>
      <c r="N63" s="1"/>
      <c r="O63" s="1"/>
      <c r="P63" s="1"/>
      <c r="Q63" s="1" t="s">
        <v>73</v>
      </c>
      <c r="R63" s="1" t="s">
        <v>73</v>
      </c>
      <c r="S63" s="1" t="s">
        <v>73</v>
      </c>
      <c r="T63" s="79"/>
      <c r="U63" s="79"/>
      <c r="V63" s="1"/>
      <c r="W63" s="1"/>
      <c r="X63" s="1"/>
      <c r="Y63" s="1"/>
      <c r="Z63" s="1" t="s">
        <v>73</v>
      </c>
      <c r="AA63" s="1" t="s">
        <v>73</v>
      </c>
      <c r="AC63" s="1"/>
      <c r="AE63" s="1"/>
      <c r="AF63" s="1"/>
      <c r="AK63" s="1" t="s">
        <v>73</v>
      </c>
      <c r="AL63" s="1" t="s">
        <v>72</v>
      </c>
      <c r="AM63">
        <v>6</v>
      </c>
      <c r="AN63" s="1" t="s">
        <v>72</v>
      </c>
      <c r="AO63">
        <v>6</v>
      </c>
      <c r="AP63" s="1" t="s">
        <v>72</v>
      </c>
      <c r="AQ63">
        <v>6</v>
      </c>
      <c r="AR63" s="1" t="s">
        <v>72</v>
      </c>
      <c r="AS63">
        <v>6</v>
      </c>
      <c r="AT63" t="s">
        <v>72</v>
      </c>
      <c r="AU63">
        <v>1</v>
      </c>
      <c r="AV63">
        <v>1</v>
      </c>
      <c r="AW63" s="1">
        <v>25</v>
      </c>
      <c r="AX63" s="1">
        <v>3</v>
      </c>
      <c r="AY63" s="1" t="s">
        <v>73</v>
      </c>
      <c r="AZ63" s="1" t="s">
        <v>73</v>
      </c>
      <c r="BA63" s="126" t="s">
        <v>73</v>
      </c>
      <c r="BB63" s="1">
        <v>1807</v>
      </c>
      <c r="BC63" s="100">
        <v>45619.272326388891</v>
      </c>
      <c r="BD63" s="85">
        <v>45631.710601851853</v>
      </c>
      <c r="BE63" s="1" t="s">
        <v>73</v>
      </c>
      <c r="BF63" s="1" t="s">
        <v>73</v>
      </c>
      <c r="BG63" s="1" t="s">
        <v>73</v>
      </c>
      <c r="BH63" s="1" t="s">
        <v>73</v>
      </c>
      <c r="BI63" s="1" t="s">
        <v>73</v>
      </c>
      <c r="BJ63" s="1" t="s">
        <v>73</v>
      </c>
      <c r="BK63" s="1"/>
      <c r="BL63" s="1" t="s">
        <v>73</v>
      </c>
      <c r="BM63" s="1" t="s">
        <v>73</v>
      </c>
      <c r="BN63" s="1" t="s">
        <v>73</v>
      </c>
      <c r="BO63" s="1" t="s">
        <v>73</v>
      </c>
      <c r="BP63" s="1" t="s">
        <v>73</v>
      </c>
      <c r="BQ63" s="1" t="s">
        <v>73</v>
      </c>
      <c r="BR63" s="1"/>
      <c r="BS63" s="1" t="s">
        <v>73</v>
      </c>
      <c r="BT63" s="1" t="s">
        <v>73</v>
      </c>
      <c r="BU63" s="1" t="s">
        <v>73</v>
      </c>
      <c r="BV63" s="1" t="s">
        <v>73</v>
      </c>
      <c r="BW63" s="1"/>
      <c r="BX63" t="s">
        <v>73</v>
      </c>
      <c r="BY63" t="s">
        <v>73</v>
      </c>
      <c r="CB63"/>
      <c r="CC63"/>
    </row>
    <row r="64" spans="1:81" ht="112" x14ac:dyDescent="0.2">
      <c r="A64" t="s">
        <v>136</v>
      </c>
      <c r="B64" t="s">
        <v>359</v>
      </c>
      <c r="C64" t="s">
        <v>360</v>
      </c>
      <c r="D64" s="1" t="s">
        <v>73</v>
      </c>
      <c r="E64" s="1" t="s">
        <v>72</v>
      </c>
      <c r="F64" s="1" t="s">
        <v>72</v>
      </c>
      <c r="G64" s="1" t="s">
        <v>73</v>
      </c>
      <c r="H64" s="1"/>
      <c r="I64" s="1"/>
      <c r="J64">
        <v>1</v>
      </c>
      <c r="N64" s="1"/>
      <c r="O64" s="1"/>
      <c r="P64" s="1"/>
      <c r="Q64" s="1" t="s">
        <v>73</v>
      </c>
      <c r="R64" s="1" t="s">
        <v>73</v>
      </c>
      <c r="S64" s="1" t="s">
        <v>73</v>
      </c>
      <c r="T64" s="79"/>
      <c r="U64" s="79"/>
      <c r="V64" s="1"/>
      <c r="W64" s="1"/>
      <c r="X64" s="1"/>
      <c r="Y64" s="1"/>
      <c r="Z64" s="1" t="s">
        <v>73</v>
      </c>
      <c r="AA64" s="1" t="s">
        <v>73</v>
      </c>
      <c r="AC64" s="1"/>
      <c r="AE64" s="1"/>
      <c r="AF64" s="1"/>
      <c r="AK64" s="1" t="s">
        <v>72</v>
      </c>
      <c r="AL64" s="1" t="s">
        <v>72</v>
      </c>
      <c r="AM64">
        <v>6</v>
      </c>
      <c r="AN64" s="1" t="s">
        <v>73</v>
      </c>
      <c r="AP64" s="1" t="s">
        <v>73</v>
      </c>
      <c r="AR64" s="1" t="s">
        <v>72</v>
      </c>
      <c r="AS64">
        <v>6</v>
      </c>
      <c r="AT64" t="s">
        <v>72</v>
      </c>
      <c r="AU64">
        <v>1</v>
      </c>
      <c r="AW64" s="1">
        <v>25</v>
      </c>
      <c r="AX64" s="1">
        <v>6</v>
      </c>
      <c r="AY64" s="1" t="s">
        <v>73</v>
      </c>
      <c r="AZ64" s="1" t="s">
        <v>73</v>
      </c>
      <c r="BA64" s="126" t="s">
        <v>361</v>
      </c>
      <c r="BB64" s="1">
        <v>1981</v>
      </c>
      <c r="BC64" s="100">
        <v>45656.850648148145</v>
      </c>
      <c r="BD64" s="85">
        <v>45656.808981481481</v>
      </c>
      <c r="BE64" s="1" t="s">
        <v>73</v>
      </c>
      <c r="BF64" s="1" t="s">
        <v>73</v>
      </c>
      <c r="BG64" s="1" t="s">
        <v>73</v>
      </c>
      <c r="BH64" s="1" t="s">
        <v>73</v>
      </c>
      <c r="BI64" s="1" t="s">
        <v>73</v>
      </c>
      <c r="BJ64" s="1" t="s">
        <v>73</v>
      </c>
      <c r="BK64" s="1"/>
      <c r="BL64" s="1" t="s">
        <v>73</v>
      </c>
      <c r="BM64" s="1" t="s">
        <v>73</v>
      </c>
      <c r="BN64" s="1" t="s">
        <v>73</v>
      </c>
      <c r="BO64" s="1" t="s">
        <v>73</v>
      </c>
      <c r="BP64" s="1" t="s">
        <v>73</v>
      </c>
      <c r="BQ64" s="1" t="s">
        <v>73</v>
      </c>
      <c r="BR64" s="1"/>
      <c r="BS64" s="1" t="s">
        <v>73</v>
      </c>
      <c r="BT64" s="1" t="s">
        <v>73</v>
      </c>
      <c r="BU64" s="1" t="s">
        <v>73</v>
      </c>
      <c r="BV64" s="1" t="s">
        <v>73</v>
      </c>
      <c r="BW64" s="1"/>
      <c r="CB64"/>
      <c r="CC64"/>
    </row>
    <row r="65" spans="1:81" ht="16" x14ac:dyDescent="0.2">
      <c r="A65" t="s">
        <v>136</v>
      </c>
      <c r="B65" t="s">
        <v>345</v>
      </c>
      <c r="C65" t="s">
        <v>346</v>
      </c>
      <c r="D65" s="1" t="s">
        <v>73</v>
      </c>
      <c r="E65" s="1" t="s">
        <v>72</v>
      </c>
      <c r="F65" s="1" t="s">
        <v>73</v>
      </c>
      <c r="G65" s="1" t="s">
        <v>73</v>
      </c>
      <c r="H65" s="1"/>
      <c r="I65" s="1">
        <v>10</v>
      </c>
      <c r="L65">
        <v>4</v>
      </c>
      <c r="N65" s="1"/>
      <c r="O65" s="1"/>
      <c r="P65" s="1"/>
      <c r="Q65" s="1" t="s">
        <v>73</v>
      </c>
      <c r="R65" s="1" t="s">
        <v>73</v>
      </c>
      <c r="S65" s="1" t="s">
        <v>73</v>
      </c>
      <c r="T65" s="79">
        <v>1</v>
      </c>
      <c r="U65" s="79"/>
      <c r="V65" s="1"/>
      <c r="W65" s="1">
        <v>1</v>
      </c>
      <c r="X65" s="1"/>
      <c r="Y65" s="1"/>
      <c r="Z65" s="1" t="s">
        <v>73</v>
      </c>
      <c r="AA65" s="1" t="s">
        <v>73</v>
      </c>
      <c r="AC65" s="1">
        <v>4</v>
      </c>
      <c r="AE65" s="1"/>
      <c r="AF65" s="1"/>
      <c r="AG65">
        <v>4</v>
      </c>
      <c r="AK65" s="1" t="s">
        <v>72</v>
      </c>
      <c r="AL65" s="1" t="s">
        <v>72</v>
      </c>
      <c r="AM65">
        <v>6</v>
      </c>
      <c r="AN65" s="1" t="s">
        <v>72</v>
      </c>
      <c r="AO65">
        <v>6</v>
      </c>
      <c r="AP65" s="1" t="s">
        <v>73</v>
      </c>
      <c r="AR65" s="1" t="s">
        <v>72</v>
      </c>
      <c r="AS65">
        <v>6</v>
      </c>
      <c r="AT65" t="s">
        <v>72</v>
      </c>
      <c r="AU65">
        <v>1</v>
      </c>
      <c r="AV65">
        <v>1</v>
      </c>
      <c r="AW65" s="1">
        <v>65</v>
      </c>
      <c r="AX65" s="1">
        <v>12</v>
      </c>
      <c r="AY65" s="1" t="s">
        <v>72</v>
      </c>
      <c r="AZ65" s="1" t="s">
        <v>73</v>
      </c>
      <c r="BA65" s="126" t="s">
        <v>73</v>
      </c>
      <c r="BB65" s="1">
        <v>1974</v>
      </c>
      <c r="BC65" s="100">
        <v>45656.486018518517</v>
      </c>
      <c r="BD65" s="85">
        <v>45656.444351851853</v>
      </c>
      <c r="BE65" s="1" t="s">
        <v>73</v>
      </c>
      <c r="BF65" s="1" t="s">
        <v>73</v>
      </c>
      <c r="BG65" s="1" t="s">
        <v>73</v>
      </c>
      <c r="BH65" s="1" t="s">
        <v>73</v>
      </c>
      <c r="BI65" s="1" t="s">
        <v>73</v>
      </c>
      <c r="BJ65" s="1" t="s">
        <v>73</v>
      </c>
      <c r="BK65" s="1"/>
      <c r="BL65" s="1" t="s">
        <v>73</v>
      </c>
      <c r="BM65" s="1" t="s">
        <v>73</v>
      </c>
      <c r="BN65" s="1" t="s">
        <v>73</v>
      </c>
      <c r="BO65" s="1" t="s">
        <v>73</v>
      </c>
      <c r="BP65" s="1" t="s">
        <v>73</v>
      </c>
      <c r="BQ65" s="1" t="s">
        <v>73</v>
      </c>
      <c r="BR65" s="1"/>
      <c r="BS65" s="1" t="s">
        <v>73</v>
      </c>
      <c r="BT65" s="1" t="s">
        <v>73</v>
      </c>
      <c r="BU65" s="1" t="s">
        <v>73</v>
      </c>
      <c r="BV65" s="1" t="s">
        <v>73</v>
      </c>
      <c r="BW65" s="1"/>
      <c r="CB65"/>
      <c r="CC65"/>
    </row>
    <row r="66" spans="1:81" ht="16" x14ac:dyDescent="0.2">
      <c r="A66" t="s">
        <v>136</v>
      </c>
      <c r="B66" t="s">
        <v>309</v>
      </c>
      <c r="C66" t="s">
        <v>310</v>
      </c>
      <c r="D66" s="1" t="s">
        <v>73</v>
      </c>
      <c r="E66" s="1" t="s">
        <v>72</v>
      </c>
      <c r="F66" s="1" t="s">
        <v>72</v>
      </c>
      <c r="G66" s="1" t="s">
        <v>73</v>
      </c>
      <c r="H66" s="1"/>
      <c r="I66" s="1">
        <v>14</v>
      </c>
      <c r="J66">
        <v>3</v>
      </c>
      <c r="N66" s="1">
        <v>4</v>
      </c>
      <c r="O66" s="1">
        <v>3</v>
      </c>
      <c r="P66" s="1"/>
      <c r="Q66" s="1" t="s">
        <v>73</v>
      </c>
      <c r="R66" s="1" t="s">
        <v>73</v>
      </c>
      <c r="S66" s="1" t="s">
        <v>73</v>
      </c>
      <c r="T66" s="79">
        <v>3</v>
      </c>
      <c r="U66" s="79">
        <v>2</v>
      </c>
      <c r="V66" s="1"/>
      <c r="W66" s="1">
        <v>2</v>
      </c>
      <c r="X66" s="1">
        <v>2</v>
      </c>
      <c r="Y66" s="1">
        <v>1</v>
      </c>
      <c r="Z66" s="1" t="s">
        <v>73</v>
      </c>
      <c r="AA66" s="1" t="s">
        <v>73</v>
      </c>
      <c r="AC66" s="1">
        <v>2</v>
      </c>
      <c r="AD66">
        <v>1</v>
      </c>
      <c r="AE66" s="1">
        <v>1</v>
      </c>
      <c r="AF66" s="1"/>
      <c r="AG66">
        <v>2</v>
      </c>
      <c r="AH66">
        <v>1</v>
      </c>
      <c r="AI66">
        <v>1</v>
      </c>
      <c r="AK66" s="1" t="s">
        <v>73</v>
      </c>
      <c r="AL66" s="1" t="s">
        <v>72</v>
      </c>
      <c r="AM66">
        <v>4</v>
      </c>
      <c r="AN66" s="1" t="s">
        <v>72</v>
      </c>
      <c r="AO66">
        <v>4</v>
      </c>
      <c r="AP66" s="1" t="s">
        <v>73</v>
      </c>
      <c r="AR66" s="1" t="s">
        <v>72</v>
      </c>
      <c r="AS66">
        <v>4</v>
      </c>
      <c r="AT66" t="s">
        <v>72</v>
      </c>
      <c r="AU66">
        <v>2</v>
      </c>
      <c r="AW66" s="1">
        <v>50</v>
      </c>
      <c r="AX66" s="1">
        <v>5</v>
      </c>
      <c r="AY66" s="1" t="s">
        <v>72</v>
      </c>
      <c r="AZ66" s="1" t="s">
        <v>73</v>
      </c>
      <c r="BA66" s="126" t="s">
        <v>73</v>
      </c>
      <c r="BB66" s="1">
        <v>1947</v>
      </c>
      <c r="BC66" s="100">
        <v>45653.784594907411</v>
      </c>
      <c r="BD66" s="85">
        <v>45653.742928240739</v>
      </c>
      <c r="BE66" s="1" t="s">
        <v>73</v>
      </c>
      <c r="BF66" s="1" t="s">
        <v>73</v>
      </c>
      <c r="BG66" s="1" t="s">
        <v>73</v>
      </c>
      <c r="BH66" s="1" t="s">
        <v>73</v>
      </c>
      <c r="BI66" s="1" t="s">
        <v>73</v>
      </c>
      <c r="BJ66" s="1" t="s">
        <v>73</v>
      </c>
      <c r="BK66" s="1"/>
      <c r="BL66" s="1" t="s">
        <v>73</v>
      </c>
      <c r="BM66" s="1" t="s">
        <v>73</v>
      </c>
      <c r="BN66" s="1" t="s">
        <v>73</v>
      </c>
      <c r="BO66" s="1" t="s">
        <v>73</v>
      </c>
      <c r="BP66" s="1" t="s">
        <v>73</v>
      </c>
      <c r="BQ66" s="1" t="s">
        <v>73</v>
      </c>
      <c r="BR66" s="1"/>
      <c r="BS66" s="1" t="s">
        <v>73</v>
      </c>
      <c r="BT66" s="1" t="s">
        <v>73</v>
      </c>
      <c r="BU66" s="1" t="s">
        <v>73</v>
      </c>
      <c r="BV66" s="1" t="s">
        <v>73</v>
      </c>
      <c r="BW66" s="1"/>
      <c r="CB66"/>
      <c r="CC66"/>
    </row>
    <row r="67" spans="1:81" ht="16" x14ac:dyDescent="0.2">
      <c r="A67" t="s">
        <v>136</v>
      </c>
      <c r="B67" t="s">
        <v>299</v>
      </c>
      <c r="C67" t="s">
        <v>300</v>
      </c>
      <c r="D67" s="1" t="s">
        <v>73</v>
      </c>
      <c r="E67" s="1" t="s">
        <v>72</v>
      </c>
      <c r="F67" s="1" t="s">
        <v>72</v>
      </c>
      <c r="G67" s="1" t="s">
        <v>73</v>
      </c>
      <c r="H67" s="1"/>
      <c r="I67" s="1"/>
      <c r="N67" s="1"/>
      <c r="O67" s="1"/>
      <c r="P67" s="1"/>
      <c r="Q67" s="1" t="s">
        <v>73</v>
      </c>
      <c r="R67" s="1" t="s">
        <v>73</v>
      </c>
      <c r="S67" s="1" t="s">
        <v>73</v>
      </c>
      <c r="T67" s="79"/>
      <c r="U67" s="79"/>
      <c r="V67" s="1"/>
      <c r="W67" s="1"/>
      <c r="X67" s="1"/>
      <c r="Y67" s="1"/>
      <c r="Z67" s="1" t="s">
        <v>72</v>
      </c>
      <c r="AA67" s="1" t="s">
        <v>73</v>
      </c>
      <c r="AC67" s="1"/>
      <c r="AE67" s="1"/>
      <c r="AF67" s="1"/>
      <c r="AK67" s="1" t="s">
        <v>73</v>
      </c>
      <c r="AL67" s="1" t="s">
        <v>73</v>
      </c>
      <c r="AN67" s="1" t="s">
        <v>73</v>
      </c>
      <c r="AP67" s="1" t="s">
        <v>73</v>
      </c>
      <c r="AR67" s="1" t="s">
        <v>73</v>
      </c>
      <c r="AT67" t="s">
        <v>73</v>
      </c>
      <c r="AW67" s="1">
        <v>30</v>
      </c>
      <c r="AX67" s="1">
        <v>2</v>
      </c>
      <c r="AY67" s="1" t="s">
        <v>73</v>
      </c>
      <c r="AZ67" s="1" t="s">
        <v>73</v>
      </c>
      <c r="BA67" s="126" t="s">
        <v>73</v>
      </c>
      <c r="BB67" s="1">
        <v>1933</v>
      </c>
      <c r="BC67" s="100">
        <v>45652.817465277774</v>
      </c>
      <c r="BD67" s="85">
        <v>45652.77579861111</v>
      </c>
      <c r="BE67" s="1" t="s">
        <v>300</v>
      </c>
      <c r="BF67" s="1" t="s">
        <v>78</v>
      </c>
      <c r="BG67" s="1" t="s">
        <v>76</v>
      </c>
      <c r="BH67" s="1" t="s">
        <v>162</v>
      </c>
      <c r="BI67" s="1" t="s">
        <v>301</v>
      </c>
      <c r="BJ67" s="1" t="s">
        <v>302</v>
      </c>
      <c r="BK67" s="1">
        <v>16</v>
      </c>
      <c r="BL67" s="1" t="s">
        <v>73</v>
      </c>
      <c r="BM67" s="1" t="s">
        <v>73</v>
      </c>
      <c r="BN67" s="1" t="s">
        <v>73</v>
      </c>
      <c r="BO67" s="1" t="s">
        <v>73</v>
      </c>
      <c r="BP67" s="1" t="s">
        <v>73</v>
      </c>
      <c r="BQ67" s="1" t="s">
        <v>73</v>
      </c>
      <c r="BR67" s="1"/>
      <c r="BS67" s="1" t="s">
        <v>73</v>
      </c>
      <c r="BT67" s="1" t="s">
        <v>73</v>
      </c>
      <c r="BU67" s="1" t="s">
        <v>73</v>
      </c>
      <c r="BV67" s="1" t="s">
        <v>73</v>
      </c>
      <c r="BW67" s="1"/>
      <c r="CB67"/>
      <c r="CC67"/>
    </row>
    <row r="68" spans="1:81" ht="16" x14ac:dyDescent="0.2">
      <c r="A68" t="s">
        <v>136</v>
      </c>
      <c r="B68" t="s">
        <v>288</v>
      </c>
      <c r="C68" t="s">
        <v>289</v>
      </c>
      <c r="D68" s="1" t="s">
        <v>72</v>
      </c>
      <c r="E68" s="1" t="s">
        <v>73</v>
      </c>
      <c r="F68" s="1" t="s">
        <v>73</v>
      </c>
      <c r="G68" s="1" t="s">
        <v>73</v>
      </c>
      <c r="H68" s="1"/>
      <c r="I68" s="1"/>
      <c r="N68" s="1"/>
      <c r="O68" s="1"/>
      <c r="P68" s="1"/>
      <c r="Q68" s="1" t="s">
        <v>73</v>
      </c>
      <c r="R68" s="1" t="s">
        <v>73</v>
      </c>
      <c r="S68" s="1" t="s">
        <v>73</v>
      </c>
      <c r="T68" s="79"/>
      <c r="U68" s="79"/>
      <c r="V68" s="1"/>
      <c r="W68" s="1"/>
      <c r="X68" s="1"/>
      <c r="Y68" s="1"/>
      <c r="Z68" s="1" t="s">
        <v>73</v>
      </c>
      <c r="AA68" s="1" t="s">
        <v>73</v>
      </c>
      <c r="AC68" s="1"/>
      <c r="AE68" s="1"/>
      <c r="AF68" s="1"/>
      <c r="AK68" s="1" t="s">
        <v>73</v>
      </c>
      <c r="AL68" s="1" t="s">
        <v>73</v>
      </c>
      <c r="AN68" s="1" t="s">
        <v>73</v>
      </c>
      <c r="AP68" s="1" t="s">
        <v>73</v>
      </c>
      <c r="AR68" s="1" t="s">
        <v>73</v>
      </c>
      <c r="AT68" t="s">
        <v>73</v>
      </c>
      <c r="AW68" s="1">
        <v>10</v>
      </c>
      <c r="AX68" s="1">
        <v>0</v>
      </c>
      <c r="AY68" s="1" t="s">
        <v>73</v>
      </c>
      <c r="AZ68" s="1" t="s">
        <v>73</v>
      </c>
      <c r="BA68" s="126" t="s">
        <v>73</v>
      </c>
      <c r="BB68" s="1">
        <v>1930</v>
      </c>
      <c r="BC68" s="100">
        <v>45652.55091435185</v>
      </c>
      <c r="BD68" s="85">
        <v>45652.509247685186</v>
      </c>
      <c r="BE68" s="1" t="s">
        <v>73</v>
      </c>
      <c r="BF68" s="1" t="s">
        <v>73</v>
      </c>
      <c r="BG68" s="1" t="s">
        <v>73</v>
      </c>
      <c r="BH68" s="1" t="s">
        <v>73</v>
      </c>
      <c r="BI68" s="1" t="s">
        <v>73</v>
      </c>
      <c r="BJ68" s="1" t="s">
        <v>73</v>
      </c>
      <c r="BK68" s="1"/>
      <c r="BL68" s="1" t="s">
        <v>73</v>
      </c>
      <c r="BM68" s="1" t="s">
        <v>73</v>
      </c>
      <c r="BN68" s="1" t="s">
        <v>73</v>
      </c>
      <c r="BO68" s="1" t="s">
        <v>73</v>
      </c>
      <c r="BP68" s="1" t="s">
        <v>73</v>
      </c>
      <c r="BQ68" s="1" t="s">
        <v>73</v>
      </c>
      <c r="BR68" s="1"/>
      <c r="BS68" s="1" t="s">
        <v>73</v>
      </c>
      <c r="BT68" s="1" t="s">
        <v>73</v>
      </c>
      <c r="BU68" s="1" t="s">
        <v>73</v>
      </c>
      <c r="BV68" s="1" t="s">
        <v>73</v>
      </c>
      <c r="BW68" s="1"/>
      <c r="CB68"/>
      <c r="CC68"/>
    </row>
    <row r="69" spans="1:81" ht="16" x14ac:dyDescent="0.2">
      <c r="A69" t="s">
        <v>136</v>
      </c>
      <c r="B69" t="s">
        <v>200</v>
      </c>
      <c r="C69" t="s">
        <v>201</v>
      </c>
      <c r="D69" s="1" t="s">
        <v>73</v>
      </c>
      <c r="E69" s="1" t="s">
        <v>73</v>
      </c>
      <c r="F69" s="1" t="s">
        <v>72</v>
      </c>
      <c r="G69" s="1" t="s">
        <v>72</v>
      </c>
      <c r="H69" s="1" t="s">
        <v>74</v>
      </c>
      <c r="I69" s="1"/>
      <c r="N69" s="1"/>
      <c r="O69" s="1"/>
      <c r="P69" s="1"/>
      <c r="Q69" s="1" t="s">
        <v>73</v>
      </c>
      <c r="R69" s="1" t="s">
        <v>73</v>
      </c>
      <c r="S69" s="1" t="s">
        <v>73</v>
      </c>
      <c r="T69" s="79"/>
      <c r="U69" s="79"/>
      <c r="V69" s="1"/>
      <c r="W69" s="1"/>
      <c r="X69" s="1"/>
      <c r="Y69" s="1"/>
      <c r="Z69" s="1" t="s">
        <v>73</v>
      </c>
      <c r="AA69" s="1" t="s">
        <v>73</v>
      </c>
      <c r="AB69">
        <v>3</v>
      </c>
      <c r="AC69" s="1">
        <v>6</v>
      </c>
      <c r="AE69" s="1"/>
      <c r="AF69" s="1"/>
      <c r="AG69">
        <v>6</v>
      </c>
      <c r="AK69" s="1" t="s">
        <v>72</v>
      </c>
      <c r="AL69" s="1" t="s">
        <v>72</v>
      </c>
      <c r="AM69">
        <v>6</v>
      </c>
      <c r="AN69" s="1" t="s">
        <v>72</v>
      </c>
      <c r="AO69">
        <v>6</v>
      </c>
      <c r="AP69" s="1" t="s">
        <v>73</v>
      </c>
      <c r="AR69" s="1" t="s">
        <v>72</v>
      </c>
      <c r="AS69">
        <v>6</v>
      </c>
      <c r="AT69" t="s">
        <v>72</v>
      </c>
      <c r="AU69">
        <v>1</v>
      </c>
      <c r="AV69">
        <v>1</v>
      </c>
      <c r="AW69" s="1">
        <v>70</v>
      </c>
      <c r="AX69" s="1">
        <v>15</v>
      </c>
      <c r="AY69" s="1" t="s">
        <v>73</v>
      </c>
      <c r="AZ69" s="1" t="s">
        <v>73</v>
      </c>
      <c r="BA69" s="126" t="s">
        <v>73</v>
      </c>
      <c r="BB69" s="1">
        <v>1921</v>
      </c>
      <c r="BC69" s="100">
        <v>45651.534745370373</v>
      </c>
      <c r="BD69" s="85">
        <v>45657.500254629631</v>
      </c>
      <c r="BE69" s="1" t="s">
        <v>73</v>
      </c>
      <c r="BF69" s="1" t="s">
        <v>73</v>
      </c>
      <c r="BG69" s="1" t="s">
        <v>73</v>
      </c>
      <c r="BH69" s="1" t="s">
        <v>73</v>
      </c>
      <c r="BI69" s="1" t="s">
        <v>73</v>
      </c>
      <c r="BJ69" s="1" t="s">
        <v>73</v>
      </c>
      <c r="BK69" s="1"/>
      <c r="BL69" s="1" t="s">
        <v>73</v>
      </c>
      <c r="BM69" s="1" t="s">
        <v>73</v>
      </c>
      <c r="BN69" s="1" t="s">
        <v>73</v>
      </c>
      <c r="BO69" s="1" t="s">
        <v>73</v>
      </c>
      <c r="BP69" s="1" t="s">
        <v>73</v>
      </c>
      <c r="BQ69" s="1" t="s">
        <v>73</v>
      </c>
      <c r="BR69" s="1"/>
      <c r="BS69" s="1" t="s">
        <v>75</v>
      </c>
      <c r="BT69" s="1" t="s">
        <v>362</v>
      </c>
      <c r="BU69" s="1" t="s">
        <v>363</v>
      </c>
      <c r="BV69" s="1" t="s">
        <v>364</v>
      </c>
      <c r="BW69" s="1">
        <v>14</v>
      </c>
      <c r="CB69"/>
      <c r="CC69"/>
    </row>
    <row r="70" spans="1:81" ht="16" x14ac:dyDescent="0.2">
      <c r="A70" t="s">
        <v>136</v>
      </c>
      <c r="B70" t="s">
        <v>269</v>
      </c>
      <c r="C70" t="s">
        <v>270</v>
      </c>
      <c r="D70" s="1" t="s">
        <v>73</v>
      </c>
      <c r="E70" s="1" t="s">
        <v>72</v>
      </c>
      <c r="F70" s="1" t="s">
        <v>73</v>
      </c>
      <c r="G70" s="1" t="s">
        <v>73</v>
      </c>
      <c r="H70" s="1"/>
      <c r="I70" s="1">
        <v>5</v>
      </c>
      <c r="J70">
        <v>5</v>
      </c>
      <c r="N70" s="1"/>
      <c r="O70" s="1"/>
      <c r="P70" s="1"/>
      <c r="Q70" s="1" t="s">
        <v>73</v>
      </c>
      <c r="R70" s="1" t="s">
        <v>73</v>
      </c>
      <c r="S70" s="1" t="s">
        <v>73</v>
      </c>
      <c r="T70" s="79"/>
      <c r="U70" s="79"/>
      <c r="V70" s="1"/>
      <c r="W70" s="1"/>
      <c r="X70" s="1"/>
      <c r="Y70" s="1"/>
      <c r="Z70" s="1" t="s">
        <v>73</v>
      </c>
      <c r="AA70" s="1" t="s">
        <v>73</v>
      </c>
      <c r="AC70" s="1">
        <v>5</v>
      </c>
      <c r="AE70" s="1">
        <v>2</v>
      </c>
      <c r="AF70" s="1"/>
      <c r="AG70">
        <v>5</v>
      </c>
      <c r="AI70">
        <v>2</v>
      </c>
      <c r="AK70" s="1" t="s">
        <v>73</v>
      </c>
      <c r="AL70" s="1" t="s">
        <v>72</v>
      </c>
      <c r="AM70">
        <v>3</v>
      </c>
      <c r="AN70" s="1" t="s">
        <v>72</v>
      </c>
      <c r="AO70">
        <v>3</v>
      </c>
      <c r="AP70" s="1" t="s">
        <v>73</v>
      </c>
      <c r="AR70" s="1" t="s">
        <v>72</v>
      </c>
      <c r="AS70">
        <v>4</v>
      </c>
      <c r="AT70" t="s">
        <v>73</v>
      </c>
      <c r="AW70" s="1">
        <v>50</v>
      </c>
      <c r="AX70" s="1">
        <v>10</v>
      </c>
      <c r="AY70" s="1" t="s">
        <v>73</v>
      </c>
      <c r="AZ70" s="1" t="s">
        <v>73</v>
      </c>
      <c r="BA70" s="126" t="s">
        <v>73</v>
      </c>
      <c r="BB70" s="1">
        <v>1908</v>
      </c>
      <c r="BC70" s="100">
        <v>45649.608888888892</v>
      </c>
      <c r="BD70" s="85">
        <v>45649.56722222222</v>
      </c>
      <c r="BE70" s="1" t="s">
        <v>73</v>
      </c>
      <c r="BF70" s="1" t="s">
        <v>73</v>
      </c>
      <c r="BG70" s="1" t="s">
        <v>73</v>
      </c>
      <c r="BH70" s="1" t="s">
        <v>73</v>
      </c>
      <c r="BI70" s="1" t="s">
        <v>73</v>
      </c>
      <c r="BJ70" s="1" t="s">
        <v>73</v>
      </c>
      <c r="BK70" s="1"/>
      <c r="BL70" s="1" t="s">
        <v>73</v>
      </c>
      <c r="BM70" s="1" t="s">
        <v>73</v>
      </c>
      <c r="BN70" s="1" t="s">
        <v>73</v>
      </c>
      <c r="BO70" s="1" t="s">
        <v>73</v>
      </c>
      <c r="BP70" s="1" t="s">
        <v>73</v>
      </c>
      <c r="BQ70" s="1" t="s">
        <v>73</v>
      </c>
      <c r="BR70" s="1"/>
      <c r="BS70" s="1" t="s">
        <v>73</v>
      </c>
      <c r="BT70" s="1" t="s">
        <v>73</v>
      </c>
      <c r="BU70" s="1" t="s">
        <v>73</v>
      </c>
      <c r="BV70" s="1" t="s">
        <v>73</v>
      </c>
      <c r="BW70" s="1"/>
      <c r="CB70"/>
      <c r="CC70"/>
    </row>
    <row r="71" spans="1:81" ht="16" x14ac:dyDescent="0.2">
      <c r="A71" t="s">
        <v>136</v>
      </c>
      <c r="B71" t="s">
        <v>226</v>
      </c>
      <c r="C71" t="s">
        <v>227</v>
      </c>
      <c r="D71" s="1" t="s">
        <v>73</v>
      </c>
      <c r="E71" s="1" t="s">
        <v>72</v>
      </c>
      <c r="F71" s="1" t="s">
        <v>72</v>
      </c>
      <c r="G71" s="1" t="s">
        <v>73</v>
      </c>
      <c r="H71" s="1"/>
      <c r="I71" s="1">
        <v>5</v>
      </c>
      <c r="N71" s="1"/>
      <c r="O71" s="1"/>
      <c r="P71" s="1"/>
      <c r="Q71" s="1" t="s">
        <v>73</v>
      </c>
      <c r="R71" s="1" t="s">
        <v>73</v>
      </c>
      <c r="S71" s="1" t="s">
        <v>73</v>
      </c>
      <c r="T71" s="79"/>
      <c r="U71" s="79"/>
      <c r="V71" s="1"/>
      <c r="W71" s="1"/>
      <c r="X71" s="1"/>
      <c r="Y71" s="1"/>
      <c r="Z71" s="1" t="s">
        <v>73</v>
      </c>
      <c r="AA71" s="1" t="s">
        <v>73</v>
      </c>
      <c r="AC71" s="1"/>
      <c r="AE71" s="1"/>
      <c r="AF71" s="1"/>
      <c r="AK71" s="1" t="s">
        <v>72</v>
      </c>
      <c r="AL71" s="1" t="s">
        <v>72</v>
      </c>
      <c r="AM71">
        <v>5</v>
      </c>
      <c r="AN71" s="1" t="s">
        <v>72</v>
      </c>
      <c r="AO71">
        <v>5</v>
      </c>
      <c r="AP71" s="1" t="s">
        <v>73</v>
      </c>
      <c r="AR71" s="1" t="s">
        <v>72</v>
      </c>
      <c r="AS71">
        <v>5</v>
      </c>
      <c r="AT71" t="s">
        <v>73</v>
      </c>
      <c r="AW71" s="1">
        <v>40</v>
      </c>
      <c r="AX71" s="1">
        <v>1</v>
      </c>
      <c r="AY71" s="1" t="s">
        <v>73</v>
      </c>
      <c r="AZ71" s="1" t="s">
        <v>73</v>
      </c>
      <c r="BA71" s="126" t="s">
        <v>73</v>
      </c>
      <c r="BB71" s="1">
        <v>1865</v>
      </c>
      <c r="BC71" s="100">
        <v>45644.823645833334</v>
      </c>
      <c r="BD71" s="85">
        <v>45644.78197916667</v>
      </c>
      <c r="BE71" s="1" t="s">
        <v>73</v>
      </c>
      <c r="BF71" s="1" t="s">
        <v>73</v>
      </c>
      <c r="BG71" s="1" t="s">
        <v>73</v>
      </c>
      <c r="BH71" s="1" t="s">
        <v>73</v>
      </c>
      <c r="BI71" s="1" t="s">
        <v>73</v>
      </c>
      <c r="BJ71" s="1" t="s">
        <v>73</v>
      </c>
      <c r="BK71" s="1"/>
      <c r="BL71" s="1" t="s">
        <v>73</v>
      </c>
      <c r="BM71" s="1" t="s">
        <v>73</v>
      </c>
      <c r="BN71" s="1" t="s">
        <v>73</v>
      </c>
      <c r="BO71" s="1" t="s">
        <v>73</v>
      </c>
      <c r="BP71" s="1" t="s">
        <v>73</v>
      </c>
      <c r="BQ71" s="1" t="s">
        <v>73</v>
      </c>
      <c r="BR71" s="1"/>
      <c r="BS71" s="1" t="s">
        <v>73</v>
      </c>
      <c r="BT71" s="1" t="s">
        <v>73</v>
      </c>
      <c r="BU71" s="1" t="s">
        <v>73</v>
      </c>
      <c r="BV71" s="1" t="s">
        <v>73</v>
      </c>
      <c r="BW71" s="1"/>
      <c r="CB71"/>
      <c r="CC71"/>
    </row>
    <row r="72" spans="1:81" ht="16" x14ac:dyDescent="0.2">
      <c r="A72" t="s">
        <v>136</v>
      </c>
      <c r="B72" t="s">
        <v>210</v>
      </c>
      <c r="C72" t="s">
        <v>211</v>
      </c>
      <c r="D72" s="1" t="s">
        <v>73</v>
      </c>
      <c r="E72" s="1" t="s">
        <v>72</v>
      </c>
      <c r="F72" s="1" t="s">
        <v>72</v>
      </c>
      <c r="G72" s="1" t="s">
        <v>73</v>
      </c>
      <c r="H72" s="1"/>
      <c r="I72" s="1">
        <v>5</v>
      </c>
      <c r="J72">
        <v>3</v>
      </c>
      <c r="N72" s="1">
        <v>4</v>
      </c>
      <c r="O72" s="1"/>
      <c r="P72" s="1"/>
      <c r="Q72" s="1" t="s">
        <v>73</v>
      </c>
      <c r="R72" s="1" t="s">
        <v>73</v>
      </c>
      <c r="S72" s="1" t="s">
        <v>73</v>
      </c>
      <c r="T72" s="79">
        <v>3</v>
      </c>
      <c r="U72" s="79">
        <v>1</v>
      </c>
      <c r="V72" s="1"/>
      <c r="W72" s="1">
        <v>3</v>
      </c>
      <c r="X72" s="1">
        <v>1</v>
      </c>
      <c r="Y72" s="1"/>
      <c r="Z72" s="1" t="s">
        <v>73</v>
      </c>
      <c r="AA72" s="1" t="s">
        <v>73</v>
      </c>
      <c r="AC72" s="1"/>
      <c r="AE72" s="1"/>
      <c r="AF72" s="1"/>
      <c r="AK72" s="1" t="s">
        <v>72</v>
      </c>
      <c r="AL72" s="1" t="s">
        <v>73</v>
      </c>
      <c r="AN72" s="1" t="s">
        <v>73</v>
      </c>
      <c r="AP72" s="1" t="s">
        <v>73</v>
      </c>
      <c r="AR72" s="1" t="s">
        <v>73</v>
      </c>
      <c r="AT72" t="s">
        <v>73</v>
      </c>
      <c r="AW72" s="1">
        <v>32</v>
      </c>
      <c r="AX72" s="1">
        <v>7</v>
      </c>
      <c r="AY72" s="1" t="s">
        <v>73</v>
      </c>
      <c r="AZ72" s="1" t="s">
        <v>73</v>
      </c>
      <c r="BA72" s="126" t="s">
        <v>73</v>
      </c>
      <c r="BB72" s="1">
        <v>1847</v>
      </c>
      <c r="BC72" s="100">
        <v>45642.810335648152</v>
      </c>
      <c r="BD72" s="85">
        <v>45642.76866898148</v>
      </c>
      <c r="BE72" s="1" t="s">
        <v>73</v>
      </c>
      <c r="BF72" s="1" t="s">
        <v>73</v>
      </c>
      <c r="BG72" s="1" t="s">
        <v>73</v>
      </c>
      <c r="BH72" s="1" t="s">
        <v>73</v>
      </c>
      <c r="BI72" s="1" t="s">
        <v>73</v>
      </c>
      <c r="BJ72" s="1" t="s">
        <v>73</v>
      </c>
      <c r="BK72" s="1"/>
      <c r="BL72" s="1" t="s">
        <v>73</v>
      </c>
      <c r="BM72" s="1" t="s">
        <v>73</v>
      </c>
      <c r="BN72" s="1" t="s">
        <v>73</v>
      </c>
      <c r="BO72" s="1" t="s">
        <v>73</v>
      </c>
      <c r="BP72" s="1" t="s">
        <v>73</v>
      </c>
      <c r="BQ72" s="1" t="s">
        <v>73</v>
      </c>
      <c r="BR72" s="1"/>
      <c r="BS72" s="1" t="s">
        <v>73</v>
      </c>
      <c r="BT72" s="1" t="s">
        <v>73</v>
      </c>
      <c r="BU72" s="1" t="s">
        <v>73</v>
      </c>
      <c r="BV72" s="1" t="s">
        <v>73</v>
      </c>
      <c r="BW72" s="1"/>
      <c r="CB72"/>
      <c r="CC72"/>
    </row>
    <row r="73" spans="1:81" ht="128" x14ac:dyDescent="0.2">
      <c r="A73" t="s">
        <v>136</v>
      </c>
      <c r="B73" t="s">
        <v>179</v>
      </c>
      <c r="C73" t="s">
        <v>170</v>
      </c>
      <c r="D73" s="1" t="s">
        <v>73</v>
      </c>
      <c r="E73" s="1" t="s">
        <v>72</v>
      </c>
      <c r="F73" s="1" t="s">
        <v>72</v>
      </c>
      <c r="G73" s="1" t="s">
        <v>73</v>
      </c>
      <c r="H73" s="1"/>
      <c r="I73" s="1"/>
      <c r="L73">
        <v>6</v>
      </c>
      <c r="N73" s="1"/>
      <c r="O73" s="1"/>
      <c r="P73" s="1"/>
      <c r="Q73" s="1" t="s">
        <v>73</v>
      </c>
      <c r="R73" s="1" t="s">
        <v>73</v>
      </c>
      <c r="S73" s="1" t="s">
        <v>73</v>
      </c>
      <c r="T73" s="79"/>
      <c r="U73" s="79">
        <v>1</v>
      </c>
      <c r="V73" s="1">
        <v>5</v>
      </c>
      <c r="W73" s="1"/>
      <c r="X73" s="1">
        <v>1</v>
      </c>
      <c r="Y73" s="1">
        <v>5</v>
      </c>
      <c r="Z73" s="1" t="s">
        <v>72</v>
      </c>
      <c r="AA73" s="1" t="s">
        <v>73</v>
      </c>
      <c r="AC73" s="1"/>
      <c r="AE73" s="1"/>
      <c r="AF73" s="1"/>
      <c r="AK73" s="1" t="s">
        <v>73</v>
      </c>
      <c r="AL73" s="1" t="s">
        <v>73</v>
      </c>
      <c r="AN73" s="1" t="s">
        <v>73</v>
      </c>
      <c r="AP73" s="1" t="s">
        <v>73</v>
      </c>
      <c r="AR73" s="1" t="s">
        <v>73</v>
      </c>
      <c r="AT73" t="s">
        <v>72</v>
      </c>
      <c r="AU73">
        <v>3</v>
      </c>
      <c r="AW73" s="1">
        <v>42</v>
      </c>
      <c r="AX73" s="1">
        <v>42</v>
      </c>
      <c r="AY73" s="1" t="s">
        <v>73</v>
      </c>
      <c r="AZ73" s="1" t="s">
        <v>73</v>
      </c>
      <c r="BA73" s="126" t="s">
        <v>160</v>
      </c>
      <c r="BB73" s="1">
        <v>1829</v>
      </c>
      <c r="BC73" s="100">
        <v>45639.322210648148</v>
      </c>
      <c r="BD73" s="85">
        <v>45639.287627314814</v>
      </c>
      <c r="BE73" s="1" t="s">
        <v>166</v>
      </c>
      <c r="BF73" s="1" t="s">
        <v>78</v>
      </c>
      <c r="BG73" s="1" t="s">
        <v>161</v>
      </c>
      <c r="BH73" s="1" t="s">
        <v>162</v>
      </c>
      <c r="BI73" s="1" t="s">
        <v>171</v>
      </c>
      <c r="BJ73" s="1" t="s">
        <v>171</v>
      </c>
      <c r="BK73" s="1">
        <v>23</v>
      </c>
      <c r="BL73" s="1" t="s">
        <v>73</v>
      </c>
      <c r="BM73" s="1" t="s">
        <v>73</v>
      </c>
      <c r="BN73" s="1" t="s">
        <v>73</v>
      </c>
      <c r="BO73" s="1" t="s">
        <v>73</v>
      </c>
      <c r="BP73" s="1" t="s">
        <v>73</v>
      </c>
      <c r="BQ73" s="1" t="s">
        <v>73</v>
      </c>
      <c r="BR73" s="1"/>
      <c r="BS73" s="1" t="s">
        <v>73</v>
      </c>
      <c r="BT73" s="1" t="s">
        <v>73</v>
      </c>
      <c r="BU73" s="1" t="s">
        <v>73</v>
      </c>
      <c r="BV73" s="1" t="s">
        <v>73</v>
      </c>
      <c r="BW73" s="1"/>
      <c r="CB73"/>
      <c r="CC73"/>
    </row>
    <row r="74" spans="1:81" ht="48" x14ac:dyDescent="0.2">
      <c r="A74" t="s">
        <v>136</v>
      </c>
      <c r="B74" t="s">
        <v>180</v>
      </c>
      <c r="C74" t="s">
        <v>157</v>
      </c>
      <c r="D74" s="1" t="s">
        <v>72</v>
      </c>
      <c r="E74" s="1" t="s">
        <v>72</v>
      </c>
      <c r="F74" s="1" t="s">
        <v>73</v>
      </c>
      <c r="G74" s="1" t="s">
        <v>73</v>
      </c>
      <c r="H74" s="1"/>
      <c r="I74" s="1"/>
      <c r="N74" s="1"/>
      <c r="O74" s="1"/>
      <c r="P74" s="1"/>
      <c r="Q74" s="1" t="s">
        <v>73</v>
      </c>
      <c r="R74" s="1" t="s">
        <v>73</v>
      </c>
      <c r="S74" s="1" t="s">
        <v>73</v>
      </c>
      <c r="T74" s="79">
        <v>4</v>
      </c>
      <c r="U74" s="79">
        <v>3</v>
      </c>
      <c r="V74" s="1"/>
      <c r="W74" s="1">
        <v>4</v>
      </c>
      <c r="X74" s="1">
        <v>3</v>
      </c>
      <c r="Y74" s="1"/>
      <c r="Z74" s="1" t="s">
        <v>73</v>
      </c>
      <c r="AA74" s="1" t="s">
        <v>73</v>
      </c>
      <c r="AC74" s="1"/>
      <c r="AE74" s="1"/>
      <c r="AF74" s="1"/>
      <c r="AK74" s="1" t="s">
        <v>73</v>
      </c>
      <c r="AL74" s="1" t="s">
        <v>73</v>
      </c>
      <c r="AN74" s="1" t="s">
        <v>73</v>
      </c>
      <c r="AP74" s="1" t="s">
        <v>73</v>
      </c>
      <c r="AR74" s="1" t="s">
        <v>73</v>
      </c>
      <c r="AT74" t="s">
        <v>73</v>
      </c>
      <c r="AW74" s="1">
        <v>0</v>
      </c>
      <c r="AX74" s="1">
        <v>0</v>
      </c>
      <c r="AY74" s="1" t="s">
        <v>73</v>
      </c>
      <c r="AZ74" s="1" t="s">
        <v>73</v>
      </c>
      <c r="BA74" s="126" t="s">
        <v>158</v>
      </c>
      <c r="BB74" s="1">
        <v>1828</v>
      </c>
      <c r="BC74" s="100">
        <v>45638.651747685188</v>
      </c>
      <c r="BD74" s="85">
        <v>45639.807164351849</v>
      </c>
      <c r="BE74" s="1" t="s">
        <v>73</v>
      </c>
      <c r="BF74" s="1" t="s">
        <v>73</v>
      </c>
      <c r="BG74" s="1" t="s">
        <v>73</v>
      </c>
      <c r="BH74" s="1" t="s">
        <v>73</v>
      </c>
      <c r="BI74" s="1" t="s">
        <v>73</v>
      </c>
      <c r="BJ74" s="1" t="s">
        <v>73</v>
      </c>
      <c r="BK74" s="1"/>
      <c r="BL74" s="1" t="s">
        <v>73</v>
      </c>
      <c r="BM74" s="1" t="s">
        <v>73</v>
      </c>
      <c r="BN74" s="1" t="s">
        <v>73</v>
      </c>
      <c r="BO74" s="1" t="s">
        <v>73</v>
      </c>
      <c r="BP74" s="1" t="s">
        <v>73</v>
      </c>
      <c r="BQ74" s="1" t="s">
        <v>73</v>
      </c>
      <c r="BR74" s="1"/>
      <c r="BS74" s="1" t="s">
        <v>73</v>
      </c>
      <c r="BT74" s="1" t="s">
        <v>73</v>
      </c>
      <c r="BU74" s="1" t="s">
        <v>73</v>
      </c>
      <c r="BV74" s="1" t="s">
        <v>73</v>
      </c>
      <c r="BW74" s="1"/>
      <c r="CB74"/>
      <c r="CC74"/>
    </row>
    <row r="75" spans="1:81" ht="128" x14ac:dyDescent="0.2">
      <c r="A75" t="s">
        <v>136</v>
      </c>
      <c r="B75" t="s">
        <v>181</v>
      </c>
      <c r="C75" t="s">
        <v>159</v>
      </c>
      <c r="D75" s="1" t="s">
        <v>73</v>
      </c>
      <c r="E75" s="1" t="s">
        <v>72</v>
      </c>
      <c r="F75" s="1" t="s">
        <v>73</v>
      </c>
      <c r="G75" s="1" t="s">
        <v>73</v>
      </c>
      <c r="H75" s="1"/>
      <c r="I75" s="1">
        <v>7</v>
      </c>
      <c r="N75" s="1"/>
      <c r="O75" s="1"/>
      <c r="P75" s="1"/>
      <c r="Q75" s="1" t="s">
        <v>73</v>
      </c>
      <c r="R75" s="1" t="s">
        <v>73</v>
      </c>
      <c r="S75" s="1" t="s">
        <v>73</v>
      </c>
      <c r="T75" s="79">
        <v>1</v>
      </c>
      <c r="U75" s="79"/>
      <c r="V75" s="1"/>
      <c r="W75" s="1">
        <v>1</v>
      </c>
      <c r="X75" s="1"/>
      <c r="Y75" s="1"/>
      <c r="Z75" s="1" t="s">
        <v>72</v>
      </c>
      <c r="AA75" s="1" t="s">
        <v>73</v>
      </c>
      <c r="AC75" s="1"/>
      <c r="AE75" s="1"/>
      <c r="AF75" s="1"/>
      <c r="AK75" s="1" t="s">
        <v>73</v>
      </c>
      <c r="AL75" s="1" t="s">
        <v>72</v>
      </c>
      <c r="AM75">
        <v>6</v>
      </c>
      <c r="AN75" s="1" t="s">
        <v>72</v>
      </c>
      <c r="AO75">
        <v>6</v>
      </c>
      <c r="AP75" s="1" t="s">
        <v>73</v>
      </c>
      <c r="AR75" s="1" t="s">
        <v>72</v>
      </c>
      <c r="AS75">
        <v>6</v>
      </c>
      <c r="AT75" t="s">
        <v>73</v>
      </c>
      <c r="AW75" s="1">
        <v>90</v>
      </c>
      <c r="AX75" s="1">
        <v>0</v>
      </c>
      <c r="AY75" s="1" t="s">
        <v>73</v>
      </c>
      <c r="AZ75" s="1" t="s">
        <v>73</v>
      </c>
      <c r="BA75" s="126" t="s">
        <v>160</v>
      </c>
      <c r="BB75" s="1">
        <v>1825</v>
      </c>
      <c r="BC75" s="100">
        <v>45637.585219907407</v>
      </c>
      <c r="BD75" s="85">
        <v>45637.543553240743</v>
      </c>
      <c r="BE75" s="1" t="s">
        <v>159</v>
      </c>
      <c r="BF75" s="1" t="s">
        <v>78</v>
      </c>
      <c r="BG75" s="1" t="s">
        <v>161</v>
      </c>
      <c r="BH75" s="1" t="s">
        <v>162</v>
      </c>
      <c r="BI75" s="1" t="s">
        <v>163</v>
      </c>
      <c r="BJ75" s="1" t="s">
        <v>163</v>
      </c>
      <c r="BK75" s="1">
        <v>62</v>
      </c>
      <c r="BL75" s="1" t="s">
        <v>73</v>
      </c>
      <c r="BM75" s="1" t="s">
        <v>73</v>
      </c>
      <c r="BN75" s="1" t="s">
        <v>73</v>
      </c>
      <c r="BO75" s="1" t="s">
        <v>73</v>
      </c>
      <c r="BP75" s="1" t="s">
        <v>73</v>
      </c>
      <c r="BQ75" s="1" t="s">
        <v>73</v>
      </c>
      <c r="BR75" s="1"/>
      <c r="BS75" s="1" t="s">
        <v>73</v>
      </c>
      <c r="BT75" s="1" t="s">
        <v>73</v>
      </c>
      <c r="BU75" s="1" t="s">
        <v>73</v>
      </c>
      <c r="BV75" s="1" t="s">
        <v>73</v>
      </c>
      <c r="BW75" s="1"/>
      <c r="CB75"/>
      <c r="CC75"/>
    </row>
    <row r="76" spans="1:81" ht="16" x14ac:dyDescent="0.2">
      <c r="A76" t="s">
        <v>136</v>
      </c>
      <c r="B76" t="s">
        <v>182</v>
      </c>
      <c r="C76" t="s">
        <v>150</v>
      </c>
      <c r="D76" s="1" t="s">
        <v>73</v>
      </c>
      <c r="E76" s="1" t="s">
        <v>72</v>
      </c>
      <c r="F76" s="1" t="s">
        <v>72</v>
      </c>
      <c r="G76" s="1" t="s">
        <v>73</v>
      </c>
      <c r="H76" s="1"/>
      <c r="I76" s="1">
        <v>3</v>
      </c>
      <c r="N76" s="1"/>
      <c r="O76" s="1"/>
      <c r="P76" s="1"/>
      <c r="Q76" s="1" t="s">
        <v>73</v>
      </c>
      <c r="R76" s="1" t="s">
        <v>73</v>
      </c>
      <c r="S76" s="1" t="s">
        <v>73</v>
      </c>
      <c r="T76" s="79"/>
      <c r="U76" s="79"/>
      <c r="V76" s="1"/>
      <c r="W76" s="1"/>
      <c r="X76" s="1"/>
      <c r="Y76" s="1"/>
      <c r="Z76" s="1" t="s">
        <v>73</v>
      </c>
      <c r="AA76" s="1" t="s">
        <v>73</v>
      </c>
      <c r="AC76" s="1"/>
      <c r="AE76" s="1"/>
      <c r="AF76" s="1"/>
      <c r="AK76" s="1" t="s">
        <v>73</v>
      </c>
      <c r="AL76" s="1" t="s">
        <v>72</v>
      </c>
      <c r="AM76">
        <v>6</v>
      </c>
      <c r="AN76" s="1" t="s">
        <v>72</v>
      </c>
      <c r="AO76">
        <v>6</v>
      </c>
      <c r="AP76" s="1" t="s">
        <v>73</v>
      </c>
      <c r="AR76" s="1" t="s">
        <v>72</v>
      </c>
      <c r="AS76">
        <v>3</v>
      </c>
      <c r="AT76" t="s">
        <v>73</v>
      </c>
      <c r="AW76" s="1">
        <v>30</v>
      </c>
      <c r="AX76" s="1">
        <v>2</v>
      </c>
      <c r="AY76" s="1" t="s">
        <v>73</v>
      </c>
      <c r="AZ76" s="1" t="s">
        <v>73</v>
      </c>
      <c r="BA76" s="126" t="s">
        <v>73</v>
      </c>
      <c r="BB76" s="1">
        <v>1818</v>
      </c>
      <c r="BC76" s="100">
        <v>45634.991388888891</v>
      </c>
      <c r="BD76" s="85">
        <v>45634.94972222222</v>
      </c>
      <c r="BE76" s="1" t="s">
        <v>73</v>
      </c>
      <c r="BF76" s="1" t="s">
        <v>73</v>
      </c>
      <c r="BG76" s="1" t="s">
        <v>73</v>
      </c>
      <c r="BH76" s="1" t="s">
        <v>73</v>
      </c>
      <c r="BI76" s="1" t="s">
        <v>73</v>
      </c>
      <c r="BJ76" s="1" t="s">
        <v>73</v>
      </c>
      <c r="BK76" s="1"/>
      <c r="BL76" s="1" t="s">
        <v>73</v>
      </c>
      <c r="BM76" s="1" t="s">
        <v>73</v>
      </c>
      <c r="BN76" s="1" t="s">
        <v>73</v>
      </c>
      <c r="BO76" s="1" t="s">
        <v>73</v>
      </c>
      <c r="BP76" s="1" t="s">
        <v>73</v>
      </c>
      <c r="BQ76" s="1" t="s">
        <v>73</v>
      </c>
      <c r="BR76" s="1"/>
      <c r="BS76" s="1" t="s">
        <v>73</v>
      </c>
      <c r="BT76" s="1" t="s">
        <v>73</v>
      </c>
      <c r="BU76" s="1" t="s">
        <v>73</v>
      </c>
      <c r="BV76" s="1" t="s">
        <v>73</v>
      </c>
      <c r="BW76" s="1"/>
      <c r="CB76"/>
      <c r="CC76"/>
    </row>
    <row r="77" spans="1:81" ht="16" x14ac:dyDescent="0.2">
      <c r="A77" t="s">
        <v>136</v>
      </c>
      <c r="B77" t="s">
        <v>183</v>
      </c>
      <c r="C77" t="s">
        <v>137</v>
      </c>
      <c r="D77" s="1" t="s">
        <v>73</v>
      </c>
      <c r="E77" s="1" t="s">
        <v>72</v>
      </c>
      <c r="F77" s="1" t="s">
        <v>72</v>
      </c>
      <c r="G77" s="1" t="s">
        <v>73</v>
      </c>
      <c r="H77" s="1"/>
      <c r="I77" s="1"/>
      <c r="N77" s="1"/>
      <c r="O77" s="1"/>
      <c r="P77" s="1"/>
      <c r="Q77" s="1" t="s">
        <v>73</v>
      </c>
      <c r="R77" s="1" t="s">
        <v>73</v>
      </c>
      <c r="S77" s="1" t="s">
        <v>73</v>
      </c>
      <c r="T77" s="79"/>
      <c r="U77" s="79"/>
      <c r="V77" s="1"/>
      <c r="W77" s="1"/>
      <c r="X77" s="1"/>
      <c r="Y77" s="1"/>
      <c r="Z77" s="1" t="s">
        <v>73</v>
      </c>
      <c r="AA77" s="1" t="s">
        <v>73</v>
      </c>
      <c r="AC77" s="1"/>
      <c r="AE77" s="1"/>
      <c r="AF77" s="1"/>
      <c r="AK77" s="1" t="s">
        <v>73</v>
      </c>
      <c r="AL77" s="1" t="s">
        <v>72</v>
      </c>
      <c r="AM77">
        <v>6</v>
      </c>
      <c r="AN77" s="1" t="s">
        <v>72</v>
      </c>
      <c r="AO77">
        <v>4</v>
      </c>
      <c r="AP77" s="1" t="s">
        <v>73</v>
      </c>
      <c r="AR77" s="1" t="s">
        <v>72</v>
      </c>
      <c r="AS77">
        <v>6</v>
      </c>
      <c r="AT77" t="s">
        <v>73</v>
      </c>
      <c r="AW77" s="1">
        <v>25</v>
      </c>
      <c r="AX77" s="1">
        <v>1</v>
      </c>
      <c r="AY77" s="1" t="s">
        <v>73</v>
      </c>
      <c r="AZ77" s="1" t="s">
        <v>73</v>
      </c>
      <c r="BA77" s="126" t="s">
        <v>73</v>
      </c>
      <c r="BB77" s="1">
        <v>1812</v>
      </c>
      <c r="BC77" s="100">
        <v>45630.948182870372</v>
      </c>
      <c r="BD77" s="85">
        <v>45631.711759259262</v>
      </c>
      <c r="BE77" s="1" t="s">
        <v>73</v>
      </c>
      <c r="BF77" s="1" t="s">
        <v>73</v>
      </c>
      <c r="BG77" s="1" t="s">
        <v>73</v>
      </c>
      <c r="BH77" s="1" t="s">
        <v>73</v>
      </c>
      <c r="BI77" s="1" t="s">
        <v>73</v>
      </c>
      <c r="BJ77" s="1" t="s">
        <v>73</v>
      </c>
      <c r="BK77" s="1"/>
      <c r="BL77" s="1" t="s">
        <v>73</v>
      </c>
      <c r="BM77" s="1" t="s">
        <v>73</v>
      </c>
      <c r="BN77" s="1" t="s">
        <v>73</v>
      </c>
      <c r="BO77" s="1" t="s">
        <v>73</v>
      </c>
      <c r="BP77" s="1" t="s">
        <v>73</v>
      </c>
      <c r="BQ77" s="1" t="s">
        <v>73</v>
      </c>
      <c r="BR77" s="1"/>
      <c r="BS77" s="1" t="s">
        <v>73</v>
      </c>
      <c r="BT77" s="1" t="s">
        <v>73</v>
      </c>
      <c r="BU77" s="1" t="s">
        <v>73</v>
      </c>
      <c r="BV77" s="1" t="s">
        <v>73</v>
      </c>
      <c r="BW77" s="1"/>
      <c r="CB77"/>
      <c r="CC77"/>
    </row>
    <row r="78" spans="1:81" ht="64" x14ac:dyDescent="0.2">
      <c r="A78" t="s">
        <v>138</v>
      </c>
      <c r="B78" t="s">
        <v>348</v>
      </c>
      <c r="C78" t="s">
        <v>349</v>
      </c>
      <c r="D78" s="1" t="s">
        <v>73</v>
      </c>
      <c r="E78" s="1" t="s">
        <v>73</v>
      </c>
      <c r="F78" s="1" t="s">
        <v>73</v>
      </c>
      <c r="G78" s="1" t="s">
        <v>72</v>
      </c>
      <c r="H78" s="1" t="s">
        <v>74</v>
      </c>
      <c r="I78" s="1"/>
      <c r="N78" s="1"/>
      <c r="O78" s="1"/>
      <c r="P78" s="1"/>
      <c r="Q78" s="1" t="s">
        <v>73</v>
      </c>
      <c r="R78" s="1" t="s">
        <v>73</v>
      </c>
      <c r="S78" s="1" t="s">
        <v>73</v>
      </c>
      <c r="T78" s="79"/>
      <c r="U78" s="79"/>
      <c r="V78" s="1"/>
      <c r="W78" s="1"/>
      <c r="X78" s="1"/>
      <c r="Y78" s="1"/>
      <c r="Z78" s="1" t="s">
        <v>73</v>
      </c>
      <c r="AA78" s="1" t="s">
        <v>73</v>
      </c>
      <c r="AB78">
        <v>11</v>
      </c>
      <c r="AC78" s="1">
        <v>2</v>
      </c>
      <c r="AD78">
        <v>1</v>
      </c>
      <c r="AE78" s="1"/>
      <c r="AF78" s="1">
        <v>2</v>
      </c>
      <c r="AG78">
        <v>2</v>
      </c>
      <c r="AH78">
        <v>1</v>
      </c>
      <c r="AJ78">
        <v>2</v>
      </c>
      <c r="AK78" s="1" t="s">
        <v>73</v>
      </c>
      <c r="AL78" s="1" t="s">
        <v>72</v>
      </c>
      <c r="AM78">
        <v>2</v>
      </c>
      <c r="AN78" s="1" t="s">
        <v>73</v>
      </c>
      <c r="AP78" s="1" t="s">
        <v>73</v>
      </c>
      <c r="AR78" s="1" t="s">
        <v>73</v>
      </c>
      <c r="AT78" t="s">
        <v>73</v>
      </c>
      <c r="AW78" s="1">
        <v>40</v>
      </c>
      <c r="AX78" s="1">
        <v>14</v>
      </c>
      <c r="AY78" s="1" t="s">
        <v>72</v>
      </c>
      <c r="AZ78" s="1" t="s">
        <v>73</v>
      </c>
      <c r="BA78" s="126" t="s">
        <v>365</v>
      </c>
      <c r="BB78" s="1">
        <v>1983</v>
      </c>
      <c r="BC78" s="100">
        <v>45656.886712962965</v>
      </c>
      <c r="BD78" s="85">
        <v>45656.845046296294</v>
      </c>
      <c r="BE78" s="1" t="s">
        <v>73</v>
      </c>
      <c r="BF78" s="1" t="s">
        <v>73</v>
      </c>
      <c r="BG78" s="1" t="s">
        <v>73</v>
      </c>
      <c r="BH78" s="1" t="s">
        <v>73</v>
      </c>
      <c r="BI78" s="1" t="s">
        <v>73</v>
      </c>
      <c r="BJ78" s="1" t="s">
        <v>73</v>
      </c>
      <c r="BK78" s="1"/>
      <c r="BL78" s="1" t="s">
        <v>73</v>
      </c>
      <c r="BM78" s="1" t="s">
        <v>73</v>
      </c>
      <c r="BN78" s="1" t="s">
        <v>73</v>
      </c>
      <c r="BO78" s="1" t="s">
        <v>73</v>
      </c>
      <c r="BP78" s="1" t="s">
        <v>73</v>
      </c>
      <c r="BQ78" s="1" t="s">
        <v>73</v>
      </c>
      <c r="BR78" s="1"/>
      <c r="BS78" s="1" t="s">
        <v>75</v>
      </c>
      <c r="BT78" s="1" t="s">
        <v>351</v>
      </c>
      <c r="BU78" s="1" t="s">
        <v>352</v>
      </c>
      <c r="BV78" s="1" t="s">
        <v>353</v>
      </c>
      <c r="BW78" s="1">
        <v>18</v>
      </c>
      <c r="CB78"/>
      <c r="CC78"/>
    </row>
    <row r="79" spans="1:81" ht="32" x14ac:dyDescent="0.2">
      <c r="A79" t="s">
        <v>138</v>
      </c>
      <c r="B79" t="s">
        <v>359</v>
      </c>
      <c r="C79" t="s">
        <v>360</v>
      </c>
      <c r="D79" s="1" t="s">
        <v>73</v>
      </c>
      <c r="E79" s="1" t="s">
        <v>72</v>
      </c>
      <c r="F79" s="1" t="s">
        <v>72</v>
      </c>
      <c r="G79" s="1" t="s">
        <v>73</v>
      </c>
      <c r="H79" s="1"/>
      <c r="I79" s="1"/>
      <c r="J79">
        <v>6</v>
      </c>
      <c r="N79" s="1"/>
      <c r="O79" s="1"/>
      <c r="P79" s="1"/>
      <c r="Q79" s="1" t="s">
        <v>73</v>
      </c>
      <c r="R79" s="1" t="s">
        <v>73</v>
      </c>
      <c r="S79" s="1" t="s">
        <v>73</v>
      </c>
      <c r="T79" s="79"/>
      <c r="U79" s="79"/>
      <c r="V79" s="1"/>
      <c r="W79" s="1"/>
      <c r="X79" s="1"/>
      <c r="Y79" s="1"/>
      <c r="Z79" s="1" t="s">
        <v>73</v>
      </c>
      <c r="AA79" s="1" t="s">
        <v>73</v>
      </c>
      <c r="AC79" s="1"/>
      <c r="AE79" s="1"/>
      <c r="AF79" s="1"/>
      <c r="AK79" s="1" t="s">
        <v>72</v>
      </c>
      <c r="AL79" s="1" t="s">
        <v>73</v>
      </c>
      <c r="AN79" s="1" t="s">
        <v>73</v>
      </c>
      <c r="AP79" s="1" t="s">
        <v>73</v>
      </c>
      <c r="AR79" s="1" t="s">
        <v>73</v>
      </c>
      <c r="AT79" t="s">
        <v>73</v>
      </c>
      <c r="AW79" s="1">
        <v>25</v>
      </c>
      <c r="AX79" s="1">
        <v>5</v>
      </c>
      <c r="AY79" s="1" t="s">
        <v>73</v>
      </c>
      <c r="AZ79" s="1" t="s">
        <v>73</v>
      </c>
      <c r="BA79" s="126" t="s">
        <v>366</v>
      </c>
      <c r="BB79" s="1">
        <v>1982</v>
      </c>
      <c r="BC79" s="100">
        <v>45656.853900462964</v>
      </c>
      <c r="BD79" s="85">
        <v>45656.8122337963</v>
      </c>
      <c r="BE79" s="1" t="s">
        <v>73</v>
      </c>
      <c r="BF79" s="1" t="s">
        <v>73</v>
      </c>
      <c r="BG79" s="1" t="s">
        <v>73</v>
      </c>
      <c r="BH79" s="1" t="s">
        <v>73</v>
      </c>
      <c r="BI79" s="1" t="s">
        <v>73</v>
      </c>
      <c r="BJ79" s="1" t="s">
        <v>73</v>
      </c>
      <c r="BK79" s="1"/>
      <c r="BL79" s="1" t="s">
        <v>73</v>
      </c>
      <c r="BM79" s="1" t="s">
        <v>73</v>
      </c>
      <c r="BN79" s="1" t="s">
        <v>73</v>
      </c>
      <c r="BO79" s="1" t="s">
        <v>73</v>
      </c>
      <c r="BP79" s="1" t="s">
        <v>73</v>
      </c>
      <c r="BQ79" s="1" t="s">
        <v>73</v>
      </c>
      <c r="BR79" s="1"/>
      <c r="BS79" s="1" t="s">
        <v>73</v>
      </c>
      <c r="BT79" s="1" t="s">
        <v>73</v>
      </c>
      <c r="BU79" s="1" t="s">
        <v>73</v>
      </c>
      <c r="BV79" s="1" t="s">
        <v>73</v>
      </c>
      <c r="BW79" s="1"/>
      <c r="CB79"/>
      <c r="CC79"/>
    </row>
    <row r="80" spans="1:81" ht="16" x14ac:dyDescent="0.2">
      <c r="A80" t="s">
        <v>138</v>
      </c>
      <c r="B80" t="s">
        <v>343</v>
      </c>
      <c r="C80" t="s">
        <v>344</v>
      </c>
      <c r="D80" s="1" t="s">
        <v>73</v>
      </c>
      <c r="E80" s="1" t="s">
        <v>72</v>
      </c>
      <c r="F80" s="1" t="s">
        <v>73</v>
      </c>
      <c r="G80" s="1" t="s">
        <v>73</v>
      </c>
      <c r="H80" s="1"/>
      <c r="I80" s="1">
        <v>8</v>
      </c>
      <c r="J80">
        <v>5</v>
      </c>
      <c r="N80" s="1"/>
      <c r="O80" s="1"/>
      <c r="P80" s="1"/>
      <c r="Q80" s="1" t="s">
        <v>73</v>
      </c>
      <c r="R80" s="1" t="s">
        <v>73</v>
      </c>
      <c r="S80" s="1" t="s">
        <v>73</v>
      </c>
      <c r="T80" s="79"/>
      <c r="U80" s="79"/>
      <c r="V80" s="1"/>
      <c r="W80" s="1"/>
      <c r="X80" s="1"/>
      <c r="Y80" s="1"/>
      <c r="Z80" s="1" t="s">
        <v>73</v>
      </c>
      <c r="AA80" s="1" t="s">
        <v>73</v>
      </c>
      <c r="AC80" s="1">
        <v>2</v>
      </c>
      <c r="AE80" s="1"/>
      <c r="AF80" s="1"/>
      <c r="AG80">
        <v>2</v>
      </c>
      <c r="AK80" s="1" t="s">
        <v>73</v>
      </c>
      <c r="AL80" s="1" t="s">
        <v>72</v>
      </c>
      <c r="AM80">
        <v>6</v>
      </c>
      <c r="AN80" s="1" t="s">
        <v>73</v>
      </c>
      <c r="AP80" s="1" t="s">
        <v>73</v>
      </c>
      <c r="AR80" s="1" t="s">
        <v>73</v>
      </c>
      <c r="AT80" t="s">
        <v>73</v>
      </c>
      <c r="AW80" s="1">
        <v>25</v>
      </c>
      <c r="AX80" s="1">
        <v>8</v>
      </c>
      <c r="AY80" s="1" t="s">
        <v>73</v>
      </c>
      <c r="AZ80" s="1" t="s">
        <v>73</v>
      </c>
      <c r="BA80" s="126" t="s">
        <v>73</v>
      </c>
      <c r="BB80" s="1">
        <v>1978</v>
      </c>
      <c r="BC80" s="100">
        <v>45656.754988425928</v>
      </c>
      <c r="BD80" s="85">
        <v>45656.713321759256</v>
      </c>
      <c r="BE80" s="1" t="s">
        <v>73</v>
      </c>
      <c r="BF80" s="1" t="s">
        <v>73</v>
      </c>
      <c r="BG80" s="1" t="s">
        <v>73</v>
      </c>
      <c r="BH80" s="1" t="s">
        <v>73</v>
      </c>
      <c r="BI80" s="1" t="s">
        <v>73</v>
      </c>
      <c r="BJ80" s="1" t="s">
        <v>73</v>
      </c>
      <c r="BK80" s="1"/>
      <c r="BL80" s="1" t="s">
        <v>73</v>
      </c>
      <c r="BM80" s="1" t="s">
        <v>73</v>
      </c>
      <c r="BN80" s="1" t="s">
        <v>73</v>
      </c>
      <c r="BO80" s="1" t="s">
        <v>73</v>
      </c>
      <c r="BP80" s="1" t="s">
        <v>73</v>
      </c>
      <c r="BQ80" s="1" t="s">
        <v>73</v>
      </c>
      <c r="BR80" s="1"/>
      <c r="BS80" s="1" t="s">
        <v>73</v>
      </c>
      <c r="BT80" s="1" t="s">
        <v>73</v>
      </c>
      <c r="BU80" s="1" t="s">
        <v>73</v>
      </c>
      <c r="BV80" s="1" t="s">
        <v>73</v>
      </c>
      <c r="BW80" s="1"/>
      <c r="CB80"/>
      <c r="CC80"/>
    </row>
    <row r="81" spans="1:81" ht="16" x14ac:dyDescent="0.2">
      <c r="A81" t="s">
        <v>138</v>
      </c>
      <c r="B81" t="s">
        <v>292</v>
      </c>
      <c r="C81" t="s">
        <v>293</v>
      </c>
      <c r="D81" s="1" t="s">
        <v>73</v>
      </c>
      <c r="E81" s="1" t="s">
        <v>72</v>
      </c>
      <c r="F81" s="1" t="s">
        <v>72</v>
      </c>
      <c r="G81" s="1" t="s">
        <v>73</v>
      </c>
      <c r="H81" s="1"/>
      <c r="I81" s="1">
        <v>14</v>
      </c>
      <c r="L81">
        <v>4</v>
      </c>
      <c r="N81" s="1"/>
      <c r="O81" s="1"/>
      <c r="P81" s="1"/>
      <c r="Q81" s="1" t="s">
        <v>73</v>
      </c>
      <c r="R81" s="1" t="s">
        <v>73</v>
      </c>
      <c r="S81" s="1" t="s">
        <v>73</v>
      </c>
      <c r="T81" s="79"/>
      <c r="U81" s="79"/>
      <c r="V81" s="1"/>
      <c r="W81" s="1"/>
      <c r="X81" s="1"/>
      <c r="Y81" s="1"/>
      <c r="Z81" s="1" t="s">
        <v>72</v>
      </c>
      <c r="AA81" s="1" t="s">
        <v>73</v>
      </c>
      <c r="AC81" s="1">
        <v>5</v>
      </c>
      <c r="AE81" s="1"/>
      <c r="AF81" s="1"/>
      <c r="AG81">
        <v>5</v>
      </c>
      <c r="AK81" s="1" t="s">
        <v>73</v>
      </c>
      <c r="AL81" s="1" t="s">
        <v>72</v>
      </c>
      <c r="AM81">
        <v>6</v>
      </c>
      <c r="AN81" s="1" t="s">
        <v>72</v>
      </c>
      <c r="AO81">
        <v>6</v>
      </c>
      <c r="AP81" s="1" t="s">
        <v>73</v>
      </c>
      <c r="AR81" s="1" t="s">
        <v>72</v>
      </c>
      <c r="AS81">
        <v>6</v>
      </c>
      <c r="AT81" t="s">
        <v>72</v>
      </c>
      <c r="AU81">
        <v>2</v>
      </c>
      <c r="AV81">
        <v>2</v>
      </c>
      <c r="AW81" s="1">
        <v>65</v>
      </c>
      <c r="AX81" s="1">
        <v>15</v>
      </c>
      <c r="AY81" s="1" t="s">
        <v>72</v>
      </c>
      <c r="AZ81" s="1" t="s">
        <v>73</v>
      </c>
      <c r="BA81" s="126" t="s">
        <v>73</v>
      </c>
      <c r="BB81" s="1">
        <v>1971</v>
      </c>
      <c r="BC81" s="100">
        <v>45655.714282407411</v>
      </c>
      <c r="BD81" s="85">
        <v>45655.672615740739</v>
      </c>
      <c r="BE81" s="1" t="s">
        <v>293</v>
      </c>
      <c r="BF81" s="1" t="s">
        <v>78</v>
      </c>
      <c r="BG81" s="1" t="s">
        <v>76</v>
      </c>
      <c r="BH81" s="1" t="s">
        <v>252</v>
      </c>
      <c r="BI81" s="1" t="s">
        <v>337</v>
      </c>
      <c r="BJ81" s="1" t="s">
        <v>337</v>
      </c>
      <c r="BK81" s="1">
        <v>15</v>
      </c>
      <c r="BL81" s="1" t="s">
        <v>73</v>
      </c>
      <c r="BM81" s="1" t="s">
        <v>73</v>
      </c>
      <c r="BN81" s="1" t="s">
        <v>73</v>
      </c>
      <c r="BO81" s="1" t="s">
        <v>73</v>
      </c>
      <c r="BP81" s="1" t="s">
        <v>73</v>
      </c>
      <c r="BQ81" s="1" t="s">
        <v>73</v>
      </c>
      <c r="BR81" s="1"/>
      <c r="BS81" s="1" t="s">
        <v>73</v>
      </c>
      <c r="BT81" s="1" t="s">
        <v>73</v>
      </c>
      <c r="BU81" s="1" t="s">
        <v>73</v>
      </c>
      <c r="BV81" s="1" t="s">
        <v>73</v>
      </c>
      <c r="BW81" s="1"/>
      <c r="CB81"/>
      <c r="CC81"/>
    </row>
    <row r="82" spans="1:81" ht="80" x14ac:dyDescent="0.2">
      <c r="A82" t="s">
        <v>138</v>
      </c>
      <c r="B82" t="s">
        <v>329</v>
      </c>
      <c r="C82" t="s">
        <v>330</v>
      </c>
      <c r="D82" s="1" t="s">
        <v>73</v>
      </c>
      <c r="E82" s="1" t="s">
        <v>72</v>
      </c>
      <c r="F82" s="1" t="s">
        <v>72</v>
      </c>
      <c r="G82" s="1" t="s">
        <v>73</v>
      </c>
      <c r="H82" s="1"/>
      <c r="I82" s="1">
        <v>9</v>
      </c>
      <c r="N82" s="1"/>
      <c r="O82" s="1"/>
      <c r="P82" s="1"/>
      <c r="Q82" s="1" t="s">
        <v>73</v>
      </c>
      <c r="R82" s="1" t="s">
        <v>73</v>
      </c>
      <c r="S82" s="1" t="s">
        <v>73</v>
      </c>
      <c r="T82" s="79"/>
      <c r="U82" s="79"/>
      <c r="V82" s="1"/>
      <c r="W82" s="1"/>
      <c r="X82" s="1"/>
      <c r="Y82" s="1"/>
      <c r="Z82" s="1" t="s">
        <v>73</v>
      </c>
      <c r="AA82" s="1" t="s">
        <v>73</v>
      </c>
      <c r="AC82" s="1">
        <v>2</v>
      </c>
      <c r="AD82">
        <v>2</v>
      </c>
      <c r="AE82" s="1"/>
      <c r="AF82" s="1">
        <v>1</v>
      </c>
      <c r="AG82">
        <v>3</v>
      </c>
      <c r="AH82">
        <v>1</v>
      </c>
      <c r="AJ82">
        <v>1</v>
      </c>
      <c r="AK82" s="1" t="s">
        <v>73</v>
      </c>
      <c r="AL82" s="1" t="s">
        <v>73</v>
      </c>
      <c r="AN82" s="1" t="s">
        <v>73</v>
      </c>
      <c r="AP82" s="1" t="s">
        <v>73</v>
      </c>
      <c r="AR82" s="1" t="s">
        <v>73</v>
      </c>
      <c r="AT82" t="s">
        <v>73</v>
      </c>
      <c r="AW82" s="1">
        <v>80</v>
      </c>
      <c r="AX82" s="1">
        <v>20</v>
      </c>
      <c r="AY82" s="1" t="s">
        <v>72</v>
      </c>
      <c r="AZ82" s="1" t="s">
        <v>73</v>
      </c>
      <c r="BA82" s="126" t="s">
        <v>338</v>
      </c>
      <c r="BB82" s="1">
        <v>1969</v>
      </c>
      <c r="BC82" s="100">
        <v>45655.680289351854</v>
      </c>
      <c r="BD82" s="85">
        <v>45655.654629629629</v>
      </c>
      <c r="BE82" s="1" t="s">
        <v>73</v>
      </c>
      <c r="BF82" s="1" t="s">
        <v>73</v>
      </c>
      <c r="BG82" s="1" t="s">
        <v>73</v>
      </c>
      <c r="BH82" s="1" t="s">
        <v>73</v>
      </c>
      <c r="BI82" s="1" t="s">
        <v>73</v>
      </c>
      <c r="BJ82" s="1" t="s">
        <v>73</v>
      </c>
      <c r="BK82" s="1"/>
      <c r="BL82" s="1" t="s">
        <v>73</v>
      </c>
      <c r="BM82" s="1" t="s">
        <v>73</v>
      </c>
      <c r="BN82" s="1" t="s">
        <v>73</v>
      </c>
      <c r="BO82" s="1" t="s">
        <v>73</v>
      </c>
      <c r="BP82" s="1" t="s">
        <v>73</v>
      </c>
      <c r="BQ82" s="1" t="s">
        <v>73</v>
      </c>
      <c r="BR82" s="1"/>
      <c r="BS82" s="1" t="s">
        <v>73</v>
      </c>
      <c r="BT82" s="1" t="s">
        <v>73</v>
      </c>
      <c r="BU82" s="1" t="s">
        <v>73</v>
      </c>
      <c r="BV82" s="1" t="s">
        <v>73</v>
      </c>
      <c r="BW82" s="1"/>
      <c r="CB82"/>
      <c r="CC82"/>
    </row>
    <row r="83" spans="1:81" ht="16" x14ac:dyDescent="0.2">
      <c r="A83" t="s">
        <v>138</v>
      </c>
      <c r="B83" t="s">
        <v>323</v>
      </c>
      <c r="C83" t="s">
        <v>324</v>
      </c>
      <c r="D83" s="1" t="s">
        <v>73</v>
      </c>
      <c r="E83" s="1" t="s">
        <v>72</v>
      </c>
      <c r="F83" s="1" t="s">
        <v>72</v>
      </c>
      <c r="G83" s="1" t="s">
        <v>73</v>
      </c>
      <c r="H83" s="1"/>
      <c r="I83" s="1">
        <v>3</v>
      </c>
      <c r="N83" s="1">
        <v>3</v>
      </c>
      <c r="O83" s="1"/>
      <c r="P83" s="1"/>
      <c r="Q83" s="1" t="s">
        <v>73</v>
      </c>
      <c r="R83" s="1" t="s">
        <v>73</v>
      </c>
      <c r="S83" s="1" t="s">
        <v>73</v>
      </c>
      <c r="T83" s="79">
        <v>1</v>
      </c>
      <c r="U83" s="79"/>
      <c r="V83" s="1"/>
      <c r="W83" s="1">
        <v>1</v>
      </c>
      <c r="X83" s="1"/>
      <c r="Y83" s="1"/>
      <c r="Z83" s="1" t="s">
        <v>73</v>
      </c>
      <c r="AA83" s="1" t="s">
        <v>73</v>
      </c>
      <c r="AC83" s="1">
        <v>2</v>
      </c>
      <c r="AE83" s="1"/>
      <c r="AF83" s="1"/>
      <c r="AG83">
        <v>2</v>
      </c>
      <c r="AK83" s="1" t="s">
        <v>73</v>
      </c>
      <c r="AL83" s="1" t="s">
        <v>72</v>
      </c>
      <c r="AM83">
        <v>6</v>
      </c>
      <c r="AN83" s="1" t="s">
        <v>72</v>
      </c>
      <c r="AO83">
        <v>6</v>
      </c>
      <c r="AP83" s="1" t="s">
        <v>73</v>
      </c>
      <c r="AR83" s="1" t="s">
        <v>72</v>
      </c>
      <c r="AS83">
        <v>6</v>
      </c>
      <c r="AT83" t="s">
        <v>73</v>
      </c>
      <c r="AW83" s="1">
        <v>25</v>
      </c>
      <c r="AX83" s="1">
        <v>0</v>
      </c>
      <c r="AY83" s="1" t="s">
        <v>73</v>
      </c>
      <c r="AZ83" s="1" t="s">
        <v>73</v>
      </c>
      <c r="BA83" s="126" t="s">
        <v>73</v>
      </c>
      <c r="BB83" s="1">
        <v>1962</v>
      </c>
      <c r="BC83" s="100">
        <v>45655.488310185188</v>
      </c>
      <c r="BD83" s="85">
        <v>45655.446643518517</v>
      </c>
      <c r="BE83" s="1" t="s">
        <v>73</v>
      </c>
      <c r="BF83" s="1" t="s">
        <v>73</v>
      </c>
      <c r="BG83" s="1" t="s">
        <v>73</v>
      </c>
      <c r="BH83" s="1" t="s">
        <v>73</v>
      </c>
      <c r="BI83" s="1" t="s">
        <v>73</v>
      </c>
      <c r="BJ83" s="1" t="s">
        <v>73</v>
      </c>
      <c r="BK83" s="1"/>
      <c r="BL83" s="1" t="s">
        <v>73</v>
      </c>
      <c r="BM83" s="1" t="s">
        <v>73</v>
      </c>
      <c r="BN83" s="1" t="s">
        <v>73</v>
      </c>
      <c r="BO83" s="1" t="s">
        <v>73</v>
      </c>
      <c r="BP83" s="1" t="s">
        <v>73</v>
      </c>
      <c r="BQ83" s="1" t="s">
        <v>73</v>
      </c>
      <c r="BR83" s="1"/>
      <c r="BS83" s="1" t="s">
        <v>73</v>
      </c>
      <c r="BT83" s="1" t="s">
        <v>73</v>
      </c>
      <c r="BU83" s="1" t="s">
        <v>73</v>
      </c>
      <c r="BV83" s="1" t="s">
        <v>73</v>
      </c>
      <c r="BW83" s="1"/>
      <c r="CB83"/>
      <c r="CC83"/>
    </row>
    <row r="84" spans="1:81" ht="16" x14ac:dyDescent="0.2">
      <c r="A84" t="s">
        <v>138</v>
      </c>
      <c r="B84" t="s">
        <v>208</v>
      </c>
      <c r="C84" t="s">
        <v>209</v>
      </c>
      <c r="D84" s="1" t="s">
        <v>72</v>
      </c>
      <c r="E84" s="1" t="s">
        <v>73</v>
      </c>
      <c r="F84" s="1" t="s">
        <v>72</v>
      </c>
      <c r="G84" s="1" t="s">
        <v>73</v>
      </c>
      <c r="H84" s="1"/>
      <c r="I84" s="1"/>
      <c r="N84" s="1"/>
      <c r="O84" s="1"/>
      <c r="P84" s="1"/>
      <c r="Q84" s="1" t="s">
        <v>73</v>
      </c>
      <c r="R84" s="1" t="s">
        <v>73</v>
      </c>
      <c r="S84" s="1" t="s">
        <v>73</v>
      </c>
      <c r="T84" s="79"/>
      <c r="U84" s="79"/>
      <c r="V84" s="1"/>
      <c r="W84" s="1"/>
      <c r="X84" s="1"/>
      <c r="Y84" s="1"/>
      <c r="Z84" s="1" t="s">
        <v>73</v>
      </c>
      <c r="AA84" s="1" t="s">
        <v>73</v>
      </c>
      <c r="AC84" s="1"/>
      <c r="AE84" s="1"/>
      <c r="AF84" s="1"/>
      <c r="AK84" s="1" t="s">
        <v>73</v>
      </c>
      <c r="AL84" s="1" t="s">
        <v>73</v>
      </c>
      <c r="AN84" s="1" t="s">
        <v>73</v>
      </c>
      <c r="AP84" s="1" t="s">
        <v>73</v>
      </c>
      <c r="AR84" s="1" t="s">
        <v>73</v>
      </c>
      <c r="AT84" t="s">
        <v>73</v>
      </c>
      <c r="AW84" s="1">
        <v>12</v>
      </c>
      <c r="AX84" s="1">
        <v>1</v>
      </c>
      <c r="AY84" s="1" t="s">
        <v>73</v>
      </c>
      <c r="AZ84" s="1" t="s">
        <v>73</v>
      </c>
      <c r="BA84" s="126" t="s">
        <v>73</v>
      </c>
      <c r="BB84" s="1">
        <v>1960</v>
      </c>
      <c r="BC84" s="100">
        <v>45654.767222222225</v>
      </c>
      <c r="BD84" s="85">
        <v>45654.725555555553</v>
      </c>
      <c r="BE84" s="1" t="s">
        <v>73</v>
      </c>
      <c r="BF84" s="1" t="s">
        <v>73</v>
      </c>
      <c r="BG84" s="1" t="s">
        <v>73</v>
      </c>
      <c r="BH84" s="1" t="s">
        <v>73</v>
      </c>
      <c r="BI84" s="1" t="s">
        <v>73</v>
      </c>
      <c r="BJ84" s="1" t="s">
        <v>73</v>
      </c>
      <c r="BK84" s="1"/>
      <c r="BL84" s="1" t="s">
        <v>73</v>
      </c>
      <c r="BM84" s="1" t="s">
        <v>73</v>
      </c>
      <c r="BN84" s="1" t="s">
        <v>73</v>
      </c>
      <c r="BO84" s="1" t="s">
        <v>73</v>
      </c>
      <c r="BP84" s="1" t="s">
        <v>73</v>
      </c>
      <c r="BQ84" s="1" t="s">
        <v>73</v>
      </c>
      <c r="BR84" s="1"/>
      <c r="BS84" s="1" t="s">
        <v>73</v>
      </c>
      <c r="BT84" s="1" t="s">
        <v>73</v>
      </c>
      <c r="BU84" s="1" t="s">
        <v>73</v>
      </c>
      <c r="BV84" s="1" t="s">
        <v>73</v>
      </c>
      <c r="BW84" s="1"/>
      <c r="CB84"/>
      <c r="CC84"/>
    </row>
    <row r="85" spans="1:81" ht="16" x14ac:dyDescent="0.2">
      <c r="A85" t="s">
        <v>138</v>
      </c>
      <c r="B85" t="s">
        <v>318</v>
      </c>
      <c r="C85" t="s">
        <v>319</v>
      </c>
      <c r="D85" s="1" t="s">
        <v>73</v>
      </c>
      <c r="E85" s="1" t="s">
        <v>72</v>
      </c>
      <c r="F85" s="1" t="s">
        <v>72</v>
      </c>
      <c r="G85" s="1" t="s">
        <v>73</v>
      </c>
      <c r="H85" s="1"/>
      <c r="I85" s="1">
        <v>14</v>
      </c>
      <c r="J85">
        <v>8</v>
      </c>
      <c r="L85">
        <v>4</v>
      </c>
      <c r="N85" s="1">
        <v>13</v>
      </c>
      <c r="O85" s="1">
        <v>6</v>
      </c>
      <c r="P85" s="1"/>
      <c r="Q85" s="1" t="s">
        <v>73</v>
      </c>
      <c r="R85" s="1" t="s">
        <v>73</v>
      </c>
      <c r="S85" s="1" t="s">
        <v>73</v>
      </c>
      <c r="T85" s="79">
        <v>1</v>
      </c>
      <c r="U85" s="79">
        <v>2</v>
      </c>
      <c r="V85" s="1">
        <v>1</v>
      </c>
      <c r="W85" s="1">
        <v>1</v>
      </c>
      <c r="X85" s="1">
        <v>2</v>
      </c>
      <c r="Y85" s="1">
        <v>1</v>
      </c>
      <c r="Z85" s="1" t="s">
        <v>73</v>
      </c>
      <c r="AA85" s="1" t="s">
        <v>73</v>
      </c>
      <c r="AC85" s="1">
        <v>3</v>
      </c>
      <c r="AE85" s="1"/>
      <c r="AF85" s="1"/>
      <c r="AG85">
        <v>3</v>
      </c>
      <c r="AK85" s="1" t="s">
        <v>72</v>
      </c>
      <c r="AL85" s="1" t="s">
        <v>72</v>
      </c>
      <c r="AM85">
        <v>6</v>
      </c>
      <c r="AN85" s="1" t="s">
        <v>72</v>
      </c>
      <c r="AO85">
        <v>6</v>
      </c>
      <c r="AP85" s="1" t="s">
        <v>73</v>
      </c>
      <c r="AR85" s="1" t="s">
        <v>73</v>
      </c>
      <c r="AT85" t="s">
        <v>72</v>
      </c>
      <c r="AU85">
        <v>2</v>
      </c>
      <c r="AV85">
        <v>3</v>
      </c>
      <c r="AW85" s="1">
        <v>125</v>
      </c>
      <c r="AX85" s="1">
        <v>22</v>
      </c>
      <c r="AY85" s="1" t="s">
        <v>72</v>
      </c>
      <c r="AZ85" s="1" t="s">
        <v>72</v>
      </c>
      <c r="BA85" s="126" t="s">
        <v>73</v>
      </c>
      <c r="BB85" s="1">
        <v>1956</v>
      </c>
      <c r="BC85" s="100">
        <v>45653.888425925928</v>
      </c>
      <c r="BD85" s="85">
        <v>45653.846759259257</v>
      </c>
      <c r="BE85" s="1" t="s">
        <v>73</v>
      </c>
      <c r="BF85" s="1" t="s">
        <v>73</v>
      </c>
      <c r="BG85" s="1" t="s">
        <v>73</v>
      </c>
      <c r="BH85" s="1" t="s">
        <v>73</v>
      </c>
      <c r="BI85" s="1" t="s">
        <v>73</v>
      </c>
      <c r="BJ85" s="1" t="s">
        <v>73</v>
      </c>
      <c r="BK85" s="1"/>
      <c r="BL85" s="1" t="s">
        <v>73</v>
      </c>
      <c r="BM85" s="1" t="s">
        <v>73</v>
      </c>
      <c r="BN85" s="1" t="s">
        <v>73</v>
      </c>
      <c r="BO85" s="1" t="s">
        <v>73</v>
      </c>
      <c r="BP85" s="1" t="s">
        <v>73</v>
      </c>
      <c r="BQ85" s="1" t="s">
        <v>73</v>
      </c>
      <c r="BR85" s="1"/>
      <c r="BS85" s="1" t="s">
        <v>73</v>
      </c>
      <c r="BT85" s="1" t="s">
        <v>73</v>
      </c>
      <c r="BU85" s="1" t="s">
        <v>73</v>
      </c>
      <c r="BV85" s="1" t="s">
        <v>73</v>
      </c>
      <c r="BW85" s="1"/>
      <c r="CB85"/>
      <c r="CC85"/>
    </row>
    <row r="86" spans="1:81" ht="16" x14ac:dyDescent="0.2">
      <c r="A86" t="s">
        <v>138</v>
      </c>
      <c r="B86" t="s">
        <v>314</v>
      </c>
      <c r="C86" t="s">
        <v>315</v>
      </c>
      <c r="D86" s="1" t="s">
        <v>73</v>
      </c>
      <c r="E86" s="1" t="s">
        <v>72</v>
      </c>
      <c r="F86" s="1" t="s">
        <v>72</v>
      </c>
      <c r="G86" s="1" t="s">
        <v>73</v>
      </c>
      <c r="H86" s="1"/>
      <c r="I86" s="1">
        <v>8</v>
      </c>
      <c r="J86">
        <v>6</v>
      </c>
      <c r="L86">
        <v>6</v>
      </c>
      <c r="M86">
        <v>6</v>
      </c>
      <c r="N86" s="1"/>
      <c r="O86" s="1"/>
      <c r="P86" s="1"/>
      <c r="Q86" s="1" t="s">
        <v>73</v>
      </c>
      <c r="R86" s="1" t="s">
        <v>73</v>
      </c>
      <c r="S86" s="1" t="s">
        <v>73</v>
      </c>
      <c r="T86" s="79"/>
      <c r="U86" s="79"/>
      <c r="V86" s="1"/>
      <c r="W86" s="1"/>
      <c r="X86" s="1"/>
      <c r="Y86" s="1"/>
      <c r="Z86" s="1" t="s">
        <v>73</v>
      </c>
      <c r="AA86" s="1" t="s">
        <v>73</v>
      </c>
      <c r="AC86" s="1">
        <v>4</v>
      </c>
      <c r="AE86" s="1"/>
      <c r="AF86" s="1"/>
      <c r="AG86">
        <v>4</v>
      </c>
      <c r="AK86" s="1" t="s">
        <v>73</v>
      </c>
      <c r="AL86" s="1" t="s">
        <v>73</v>
      </c>
      <c r="AN86" s="1" t="s">
        <v>73</v>
      </c>
      <c r="AP86" s="1" t="s">
        <v>73</v>
      </c>
      <c r="AR86" s="1" t="s">
        <v>73</v>
      </c>
      <c r="AT86" t="s">
        <v>73</v>
      </c>
      <c r="AW86" s="1">
        <v>100</v>
      </c>
      <c r="AX86" s="1">
        <v>20</v>
      </c>
      <c r="AY86" s="1" t="s">
        <v>73</v>
      </c>
      <c r="AZ86" s="1" t="s">
        <v>73</v>
      </c>
      <c r="BA86" s="126" t="s">
        <v>73</v>
      </c>
      <c r="BB86" s="1">
        <v>1953</v>
      </c>
      <c r="BC86" s="100">
        <v>45653.865555555552</v>
      </c>
      <c r="BD86" s="85">
        <v>45653.823888888888</v>
      </c>
      <c r="BE86" s="1" t="s">
        <v>73</v>
      </c>
      <c r="BF86" s="1" t="s">
        <v>73</v>
      </c>
      <c r="BG86" s="1" t="s">
        <v>73</v>
      </c>
      <c r="BH86" s="1" t="s">
        <v>73</v>
      </c>
      <c r="BI86" s="1" t="s">
        <v>73</v>
      </c>
      <c r="BJ86" s="1" t="s">
        <v>73</v>
      </c>
      <c r="BK86" s="1"/>
      <c r="BL86" s="1" t="s">
        <v>73</v>
      </c>
      <c r="BM86" s="1" t="s">
        <v>73</v>
      </c>
      <c r="BN86" s="1" t="s">
        <v>73</v>
      </c>
      <c r="BO86" s="1" t="s">
        <v>73</v>
      </c>
      <c r="BP86" s="1" t="s">
        <v>73</v>
      </c>
      <c r="BQ86" s="1" t="s">
        <v>73</v>
      </c>
      <c r="BR86" s="1"/>
      <c r="BS86" s="1" t="s">
        <v>73</v>
      </c>
      <c r="BT86" s="1" t="s">
        <v>73</v>
      </c>
      <c r="BU86" s="1" t="s">
        <v>73</v>
      </c>
      <c r="BV86" s="1" t="s">
        <v>73</v>
      </c>
      <c r="BW86" s="1"/>
      <c r="CB86"/>
      <c r="CC86"/>
    </row>
    <row r="87" spans="1:81" ht="16" x14ac:dyDescent="0.2">
      <c r="A87" t="s">
        <v>138</v>
      </c>
      <c r="B87" t="s">
        <v>311</v>
      </c>
      <c r="C87" t="s">
        <v>312</v>
      </c>
      <c r="D87" s="1" t="s">
        <v>73</v>
      </c>
      <c r="E87" s="1" t="s">
        <v>72</v>
      </c>
      <c r="F87" s="1" t="s">
        <v>73</v>
      </c>
      <c r="G87" s="1" t="s">
        <v>73</v>
      </c>
      <c r="H87" s="1"/>
      <c r="I87" s="1">
        <v>4</v>
      </c>
      <c r="J87">
        <v>6</v>
      </c>
      <c r="L87">
        <v>10</v>
      </c>
      <c r="M87">
        <v>3</v>
      </c>
      <c r="N87" s="1"/>
      <c r="O87" s="1"/>
      <c r="P87" s="1"/>
      <c r="Q87" s="1" t="s">
        <v>73</v>
      </c>
      <c r="R87" s="1" t="s">
        <v>73</v>
      </c>
      <c r="S87" s="1" t="s">
        <v>73</v>
      </c>
      <c r="T87" s="79"/>
      <c r="U87" s="79"/>
      <c r="V87" s="1"/>
      <c r="W87" s="1"/>
      <c r="X87" s="1"/>
      <c r="Y87" s="1"/>
      <c r="Z87" s="1" t="s">
        <v>73</v>
      </c>
      <c r="AA87" s="1" t="s">
        <v>73</v>
      </c>
      <c r="AC87" s="1"/>
      <c r="AE87" s="1"/>
      <c r="AF87" s="1"/>
      <c r="AK87" s="1" t="s">
        <v>73</v>
      </c>
      <c r="AL87" s="1" t="s">
        <v>72</v>
      </c>
      <c r="AM87">
        <v>6</v>
      </c>
      <c r="AN87" s="1" t="s">
        <v>72</v>
      </c>
      <c r="AO87">
        <v>6</v>
      </c>
      <c r="AP87" s="1" t="s">
        <v>73</v>
      </c>
      <c r="AR87" s="1" t="s">
        <v>72</v>
      </c>
      <c r="AS87">
        <v>6</v>
      </c>
      <c r="AT87" t="s">
        <v>72</v>
      </c>
      <c r="AU87">
        <v>2</v>
      </c>
      <c r="AV87">
        <v>2</v>
      </c>
      <c r="AW87" s="1">
        <v>75</v>
      </c>
      <c r="AX87" s="1">
        <v>13</v>
      </c>
      <c r="AY87" s="1" t="s">
        <v>73</v>
      </c>
      <c r="AZ87" s="1" t="s">
        <v>72</v>
      </c>
      <c r="BA87" s="126" t="s">
        <v>73</v>
      </c>
      <c r="BB87" s="1">
        <v>1942</v>
      </c>
      <c r="BC87" s="100">
        <v>45653.437048611115</v>
      </c>
      <c r="BD87" s="85">
        <v>45653.395381944443</v>
      </c>
      <c r="BE87" s="1" t="s">
        <v>73</v>
      </c>
      <c r="BF87" s="1" t="s">
        <v>73</v>
      </c>
      <c r="BG87" s="1" t="s">
        <v>73</v>
      </c>
      <c r="BH87" s="1" t="s">
        <v>73</v>
      </c>
      <c r="BI87" s="1" t="s">
        <v>73</v>
      </c>
      <c r="BJ87" s="1" t="s">
        <v>73</v>
      </c>
      <c r="BK87" s="1"/>
      <c r="BL87" s="1" t="s">
        <v>73</v>
      </c>
      <c r="BM87" s="1" t="s">
        <v>73</v>
      </c>
      <c r="BN87" s="1" t="s">
        <v>73</v>
      </c>
      <c r="BO87" s="1" t="s">
        <v>73</v>
      </c>
      <c r="BP87" s="1" t="s">
        <v>73</v>
      </c>
      <c r="BQ87" s="1" t="s">
        <v>73</v>
      </c>
      <c r="BR87" s="1"/>
      <c r="BS87" s="1" t="s">
        <v>73</v>
      </c>
      <c r="BT87" s="1" t="s">
        <v>73</v>
      </c>
      <c r="BU87" s="1" t="s">
        <v>73</v>
      </c>
      <c r="BV87" s="1" t="s">
        <v>73</v>
      </c>
      <c r="BW87" s="1"/>
      <c r="CB87"/>
      <c r="CC87"/>
    </row>
    <row r="88" spans="1:81" ht="16" x14ac:dyDescent="0.2">
      <c r="A88" t="s">
        <v>138</v>
      </c>
      <c r="B88" t="s">
        <v>306</v>
      </c>
      <c r="C88" t="s">
        <v>307</v>
      </c>
      <c r="D88" s="1" t="s">
        <v>73</v>
      </c>
      <c r="E88" s="1" t="s">
        <v>72</v>
      </c>
      <c r="F88" s="1" t="s">
        <v>73</v>
      </c>
      <c r="G88" s="1" t="s">
        <v>73</v>
      </c>
      <c r="H88" s="1"/>
      <c r="I88" s="1">
        <v>4</v>
      </c>
      <c r="N88" s="1"/>
      <c r="O88" s="1"/>
      <c r="P88" s="1"/>
      <c r="Q88" s="1" t="s">
        <v>73</v>
      </c>
      <c r="R88" s="1" t="s">
        <v>73</v>
      </c>
      <c r="S88" s="1" t="s">
        <v>73</v>
      </c>
      <c r="T88" s="79"/>
      <c r="U88" s="79"/>
      <c r="V88" s="1"/>
      <c r="W88" s="1"/>
      <c r="X88" s="1"/>
      <c r="Y88" s="1"/>
      <c r="Z88" s="1" t="s">
        <v>73</v>
      </c>
      <c r="AA88" s="1" t="s">
        <v>73</v>
      </c>
      <c r="AC88" s="1"/>
      <c r="AE88" s="1"/>
      <c r="AF88" s="1"/>
      <c r="AK88" s="1" t="s">
        <v>73</v>
      </c>
      <c r="AL88" s="1" t="s">
        <v>73</v>
      </c>
      <c r="AN88" s="1" t="s">
        <v>73</v>
      </c>
      <c r="AP88" s="1" t="s">
        <v>73</v>
      </c>
      <c r="AR88" s="1" t="s">
        <v>73</v>
      </c>
      <c r="AT88" t="s">
        <v>73</v>
      </c>
      <c r="AW88" s="1">
        <v>25</v>
      </c>
      <c r="AX88" s="1">
        <v>5</v>
      </c>
      <c r="AY88" s="1" t="s">
        <v>73</v>
      </c>
      <c r="AZ88" s="1" t="s">
        <v>73</v>
      </c>
      <c r="BA88" s="126" t="s">
        <v>308</v>
      </c>
      <c r="BB88" s="1">
        <v>1941</v>
      </c>
      <c r="BC88" s="100">
        <v>45653.435046296298</v>
      </c>
      <c r="BD88" s="85">
        <v>45653.393379629626</v>
      </c>
      <c r="BE88" s="1" t="s">
        <v>73</v>
      </c>
      <c r="BF88" s="1" t="s">
        <v>73</v>
      </c>
      <c r="BG88" s="1" t="s">
        <v>73</v>
      </c>
      <c r="BH88" s="1" t="s">
        <v>73</v>
      </c>
      <c r="BI88" s="1" t="s">
        <v>73</v>
      </c>
      <c r="BJ88" s="1" t="s">
        <v>73</v>
      </c>
      <c r="BK88" s="1"/>
      <c r="BL88" s="1" t="s">
        <v>73</v>
      </c>
      <c r="BM88" s="1" t="s">
        <v>73</v>
      </c>
      <c r="BN88" s="1" t="s">
        <v>73</v>
      </c>
      <c r="BO88" s="1" t="s">
        <v>73</v>
      </c>
      <c r="BP88" s="1" t="s">
        <v>73</v>
      </c>
      <c r="BQ88" s="1" t="s">
        <v>73</v>
      </c>
      <c r="BR88" s="1"/>
      <c r="BS88" s="1" t="s">
        <v>73</v>
      </c>
      <c r="BT88" s="1" t="s">
        <v>73</v>
      </c>
      <c r="BU88" s="1" t="s">
        <v>73</v>
      </c>
      <c r="BV88" s="1" t="s">
        <v>73</v>
      </c>
      <c r="BW88" s="1"/>
      <c r="CB88"/>
      <c r="CC88"/>
    </row>
    <row r="89" spans="1:81" ht="16" x14ac:dyDescent="0.2">
      <c r="A89" t="s">
        <v>138</v>
      </c>
      <c r="B89" t="s">
        <v>288</v>
      </c>
      <c r="C89" t="s">
        <v>289</v>
      </c>
      <c r="D89" s="1" t="s">
        <v>73</v>
      </c>
      <c r="E89" s="1" t="s">
        <v>72</v>
      </c>
      <c r="F89" s="1" t="s">
        <v>72</v>
      </c>
      <c r="G89" s="1" t="s">
        <v>72</v>
      </c>
      <c r="H89" s="1" t="s">
        <v>74</v>
      </c>
      <c r="I89" s="1">
        <v>10</v>
      </c>
      <c r="J89">
        <v>9</v>
      </c>
      <c r="L89">
        <v>3</v>
      </c>
      <c r="N89" s="1"/>
      <c r="O89" s="1"/>
      <c r="P89" s="1"/>
      <c r="Q89" s="1" t="s">
        <v>73</v>
      </c>
      <c r="R89" s="1" t="s">
        <v>73</v>
      </c>
      <c r="S89" s="1" t="s">
        <v>73</v>
      </c>
      <c r="T89" s="79"/>
      <c r="U89" s="79"/>
      <c r="V89" s="1"/>
      <c r="W89" s="1"/>
      <c r="X89" s="1"/>
      <c r="Y89" s="1"/>
      <c r="Z89" s="1" t="s">
        <v>73</v>
      </c>
      <c r="AA89" s="1" t="s">
        <v>73</v>
      </c>
      <c r="AB89">
        <v>4</v>
      </c>
      <c r="AC89" s="1">
        <v>9</v>
      </c>
      <c r="AD89">
        <v>4</v>
      </c>
      <c r="AE89" s="1"/>
      <c r="AF89" s="1">
        <v>2</v>
      </c>
      <c r="AG89">
        <v>8</v>
      </c>
      <c r="AH89">
        <v>3</v>
      </c>
      <c r="AJ89">
        <v>2</v>
      </c>
      <c r="AK89" s="1" t="s">
        <v>73</v>
      </c>
      <c r="AL89" s="1" t="s">
        <v>72</v>
      </c>
      <c r="AM89">
        <v>6</v>
      </c>
      <c r="AN89" s="1" t="s">
        <v>72</v>
      </c>
      <c r="AO89">
        <v>6</v>
      </c>
      <c r="AP89" s="1" t="s">
        <v>72</v>
      </c>
      <c r="AQ89">
        <v>6</v>
      </c>
      <c r="AR89" s="1" t="s">
        <v>72</v>
      </c>
      <c r="AS89">
        <v>6</v>
      </c>
      <c r="AT89" t="s">
        <v>73</v>
      </c>
      <c r="AW89" s="1">
        <v>140</v>
      </c>
      <c r="AX89" s="1">
        <v>35</v>
      </c>
      <c r="AY89" s="1" t="s">
        <v>73</v>
      </c>
      <c r="AZ89" s="1" t="s">
        <v>73</v>
      </c>
      <c r="BA89" s="126" t="s">
        <v>73</v>
      </c>
      <c r="BB89" s="1">
        <v>1926</v>
      </c>
      <c r="BC89" s="100">
        <v>45652.543194444443</v>
      </c>
      <c r="BD89" s="85">
        <v>45652.501527777778</v>
      </c>
      <c r="BE89" s="1" t="s">
        <v>73</v>
      </c>
      <c r="BF89" s="1" t="s">
        <v>73</v>
      </c>
      <c r="BG89" s="1" t="s">
        <v>73</v>
      </c>
      <c r="BH89" s="1" t="s">
        <v>73</v>
      </c>
      <c r="BI89" s="1" t="s">
        <v>73</v>
      </c>
      <c r="BJ89" s="1" t="s">
        <v>73</v>
      </c>
      <c r="BK89" s="1"/>
      <c r="BL89" s="1" t="s">
        <v>73</v>
      </c>
      <c r="BM89" s="1" t="s">
        <v>73</v>
      </c>
      <c r="BN89" s="1" t="s">
        <v>73</v>
      </c>
      <c r="BO89" s="1" t="s">
        <v>73</v>
      </c>
      <c r="BP89" s="1" t="s">
        <v>73</v>
      </c>
      <c r="BQ89" s="1" t="s">
        <v>73</v>
      </c>
      <c r="BR89" s="1"/>
      <c r="BS89" s="1" t="s">
        <v>169</v>
      </c>
      <c r="BT89" s="1" t="s">
        <v>290</v>
      </c>
      <c r="BU89" s="1" t="s">
        <v>189</v>
      </c>
      <c r="BV89" s="1" t="s">
        <v>291</v>
      </c>
      <c r="BW89" s="1">
        <v>18</v>
      </c>
      <c r="CB89"/>
      <c r="CC89"/>
    </row>
    <row r="90" spans="1:81" ht="16" x14ac:dyDescent="0.2">
      <c r="A90" t="s">
        <v>138</v>
      </c>
      <c r="B90" t="s">
        <v>200</v>
      </c>
      <c r="C90" t="s">
        <v>201</v>
      </c>
      <c r="D90" s="1" t="s">
        <v>73</v>
      </c>
      <c r="E90" s="1" t="s">
        <v>72</v>
      </c>
      <c r="F90" s="1" t="s">
        <v>72</v>
      </c>
      <c r="G90" s="1" t="s">
        <v>72</v>
      </c>
      <c r="H90" s="1" t="s">
        <v>74</v>
      </c>
      <c r="I90" s="1"/>
      <c r="N90" s="1"/>
      <c r="O90" s="1"/>
      <c r="P90" s="1"/>
      <c r="Q90" s="1" t="s">
        <v>73</v>
      </c>
      <c r="R90" s="1" t="s">
        <v>73</v>
      </c>
      <c r="S90" s="1" t="s">
        <v>73</v>
      </c>
      <c r="T90" s="79"/>
      <c r="U90" s="79"/>
      <c r="V90" s="1"/>
      <c r="W90" s="1"/>
      <c r="X90" s="1"/>
      <c r="Y90" s="1"/>
      <c r="Z90" s="1" t="s">
        <v>73</v>
      </c>
      <c r="AA90" s="1" t="s">
        <v>73</v>
      </c>
      <c r="AB90">
        <v>3</v>
      </c>
      <c r="AC90" s="1">
        <v>6</v>
      </c>
      <c r="AE90" s="1"/>
      <c r="AF90" s="1"/>
      <c r="AG90">
        <v>6</v>
      </c>
      <c r="AK90" s="1" t="s">
        <v>72</v>
      </c>
      <c r="AL90" s="1" t="s">
        <v>72</v>
      </c>
      <c r="AM90">
        <v>6</v>
      </c>
      <c r="AN90" s="1" t="s">
        <v>72</v>
      </c>
      <c r="AO90">
        <v>6</v>
      </c>
      <c r="AP90" s="1" t="s">
        <v>73</v>
      </c>
      <c r="AR90" s="1" t="s">
        <v>72</v>
      </c>
      <c r="AS90">
        <v>6</v>
      </c>
      <c r="AT90" t="s">
        <v>72</v>
      </c>
      <c r="AU90">
        <v>1</v>
      </c>
      <c r="AV90">
        <v>1</v>
      </c>
      <c r="AW90" s="1">
        <v>70</v>
      </c>
      <c r="AX90" s="1">
        <v>15</v>
      </c>
      <c r="AY90" s="1" t="s">
        <v>73</v>
      </c>
      <c r="AZ90" s="1" t="s">
        <v>73</v>
      </c>
      <c r="BA90" s="126" t="s">
        <v>73</v>
      </c>
      <c r="BB90" s="1">
        <v>1922</v>
      </c>
      <c r="BC90" s="100">
        <v>45651.5466087963</v>
      </c>
      <c r="BD90" s="85">
        <v>45657.507280092592</v>
      </c>
      <c r="BE90" s="1" t="s">
        <v>73</v>
      </c>
      <c r="BF90" s="1" t="s">
        <v>73</v>
      </c>
      <c r="BG90" s="1" t="s">
        <v>73</v>
      </c>
      <c r="BH90" s="1" t="s">
        <v>73</v>
      </c>
      <c r="BI90" s="1" t="s">
        <v>73</v>
      </c>
      <c r="BJ90" s="1" t="s">
        <v>73</v>
      </c>
      <c r="BK90" s="1"/>
      <c r="BL90" s="1" t="s">
        <v>73</v>
      </c>
      <c r="BM90" s="1" t="s">
        <v>73</v>
      </c>
      <c r="BN90" s="1" t="s">
        <v>73</v>
      </c>
      <c r="BO90" s="1" t="s">
        <v>73</v>
      </c>
      <c r="BP90" s="1" t="s">
        <v>73</v>
      </c>
      <c r="BQ90" s="1" t="s">
        <v>73</v>
      </c>
      <c r="BR90" s="1"/>
      <c r="BS90" s="1" t="s">
        <v>75</v>
      </c>
      <c r="BT90" s="1" t="s">
        <v>362</v>
      </c>
      <c r="BU90" s="1" t="s">
        <v>363</v>
      </c>
      <c r="BV90" s="1" t="s">
        <v>364</v>
      </c>
      <c r="BW90" s="1">
        <v>14</v>
      </c>
      <c r="CB90"/>
      <c r="CC90"/>
    </row>
    <row r="91" spans="1:81" ht="16" x14ac:dyDescent="0.2">
      <c r="A91" t="s">
        <v>138</v>
      </c>
      <c r="B91" t="s">
        <v>254</v>
      </c>
      <c r="C91" t="s">
        <v>255</v>
      </c>
      <c r="D91" s="1" t="s">
        <v>73</v>
      </c>
      <c r="E91" s="1" t="s">
        <v>72</v>
      </c>
      <c r="F91" s="1" t="s">
        <v>72</v>
      </c>
      <c r="G91" s="1" t="s">
        <v>73</v>
      </c>
      <c r="H91" s="1"/>
      <c r="I91" s="1">
        <v>6</v>
      </c>
      <c r="N91" s="1"/>
      <c r="O91" s="1"/>
      <c r="P91" s="1"/>
      <c r="Q91" s="1" t="s">
        <v>73</v>
      </c>
      <c r="R91" s="1" t="s">
        <v>73</v>
      </c>
      <c r="S91" s="1" t="s">
        <v>73</v>
      </c>
      <c r="T91" s="79"/>
      <c r="U91" s="79"/>
      <c r="V91" s="1"/>
      <c r="W91" s="1"/>
      <c r="X91" s="1"/>
      <c r="Y91" s="1"/>
      <c r="Z91" s="1" t="s">
        <v>72</v>
      </c>
      <c r="AA91" s="1" t="s">
        <v>73</v>
      </c>
      <c r="AC91" s="1"/>
      <c r="AE91" s="1"/>
      <c r="AF91" s="1"/>
      <c r="AK91" s="1" t="s">
        <v>73</v>
      </c>
      <c r="AL91" s="1" t="s">
        <v>72</v>
      </c>
      <c r="AM91">
        <v>6</v>
      </c>
      <c r="AN91" s="1" t="s">
        <v>72</v>
      </c>
      <c r="AO91">
        <v>6</v>
      </c>
      <c r="AP91" s="1" t="s">
        <v>73</v>
      </c>
      <c r="AR91" s="1" t="s">
        <v>72</v>
      </c>
      <c r="AS91">
        <v>6</v>
      </c>
      <c r="AT91" t="s">
        <v>73</v>
      </c>
      <c r="AW91" s="1">
        <v>68</v>
      </c>
      <c r="AX91" s="1">
        <v>7</v>
      </c>
      <c r="AY91" s="1" t="s">
        <v>73</v>
      </c>
      <c r="AZ91" s="1" t="s">
        <v>73</v>
      </c>
      <c r="BA91" s="126" t="s">
        <v>73</v>
      </c>
      <c r="BB91" s="1">
        <v>1920</v>
      </c>
      <c r="BC91" s="100">
        <v>45651.460856481484</v>
      </c>
      <c r="BD91" s="85">
        <v>45651.419189814813</v>
      </c>
      <c r="BE91" s="1" t="s">
        <v>255</v>
      </c>
      <c r="BF91" s="1" t="s">
        <v>78</v>
      </c>
      <c r="BG91" s="1" t="s">
        <v>76</v>
      </c>
      <c r="BH91" s="1" t="s">
        <v>77</v>
      </c>
      <c r="BI91" s="1" t="s">
        <v>286</v>
      </c>
      <c r="BJ91" s="1" t="s">
        <v>287</v>
      </c>
      <c r="BK91" s="1">
        <v>45</v>
      </c>
      <c r="BL91" s="1" t="s">
        <v>73</v>
      </c>
      <c r="BM91" s="1" t="s">
        <v>73</v>
      </c>
      <c r="BN91" s="1" t="s">
        <v>73</v>
      </c>
      <c r="BO91" s="1" t="s">
        <v>73</v>
      </c>
      <c r="BP91" s="1" t="s">
        <v>73</v>
      </c>
      <c r="BQ91" s="1" t="s">
        <v>73</v>
      </c>
      <c r="BR91" s="1"/>
      <c r="BS91" s="1" t="s">
        <v>73</v>
      </c>
      <c r="BT91" s="1" t="s">
        <v>73</v>
      </c>
      <c r="BU91" s="1" t="s">
        <v>73</v>
      </c>
      <c r="BV91" s="1" t="s">
        <v>73</v>
      </c>
      <c r="BW91" s="1"/>
      <c r="CB91"/>
      <c r="CC91"/>
    </row>
    <row r="92" spans="1:81" ht="16" x14ac:dyDescent="0.2">
      <c r="A92" t="s">
        <v>138</v>
      </c>
      <c r="B92" t="s">
        <v>278</v>
      </c>
      <c r="C92" t="s">
        <v>279</v>
      </c>
      <c r="D92" s="1" t="s">
        <v>73</v>
      </c>
      <c r="E92" s="1" t="s">
        <v>72</v>
      </c>
      <c r="F92" s="1" t="s">
        <v>72</v>
      </c>
      <c r="G92" s="1" t="s">
        <v>73</v>
      </c>
      <c r="H92" s="1" t="s">
        <v>72</v>
      </c>
      <c r="I92" s="1">
        <v>6</v>
      </c>
      <c r="J92">
        <v>6</v>
      </c>
      <c r="N92" s="1"/>
      <c r="O92" s="1"/>
      <c r="P92" s="1"/>
      <c r="Q92" s="1" t="s">
        <v>73</v>
      </c>
      <c r="R92" s="1" t="s">
        <v>73</v>
      </c>
      <c r="S92" s="1" t="s">
        <v>73</v>
      </c>
      <c r="T92" s="79"/>
      <c r="U92" s="79"/>
      <c r="V92" s="1"/>
      <c r="W92" s="1"/>
      <c r="X92" s="1"/>
      <c r="Y92" s="1"/>
      <c r="Z92" s="1" t="s">
        <v>73</v>
      </c>
      <c r="AA92" s="1" t="s">
        <v>73</v>
      </c>
      <c r="AB92">
        <v>3</v>
      </c>
      <c r="AC92" s="1">
        <v>3</v>
      </c>
      <c r="AE92" s="1"/>
      <c r="AF92" s="1"/>
      <c r="AG92">
        <v>3</v>
      </c>
      <c r="AK92" s="1" t="s">
        <v>72</v>
      </c>
      <c r="AL92" s="1" t="s">
        <v>72</v>
      </c>
      <c r="AM92">
        <v>6</v>
      </c>
      <c r="AN92" s="1" t="s">
        <v>72</v>
      </c>
      <c r="AO92">
        <v>6</v>
      </c>
      <c r="AP92" s="1" t="s">
        <v>73</v>
      </c>
      <c r="AR92" s="1" t="s">
        <v>73</v>
      </c>
      <c r="AT92" t="s">
        <v>73</v>
      </c>
      <c r="AW92" s="1">
        <v>100</v>
      </c>
      <c r="AX92" s="1">
        <v>30</v>
      </c>
      <c r="AY92" s="1" t="s">
        <v>72</v>
      </c>
      <c r="AZ92" s="1" t="s">
        <v>72</v>
      </c>
      <c r="BA92" s="126" t="s">
        <v>73</v>
      </c>
      <c r="BB92" s="1">
        <v>1917</v>
      </c>
      <c r="BC92" s="100">
        <v>45649.826215277775</v>
      </c>
      <c r="BD92" s="85">
        <v>45649.784548611111</v>
      </c>
      <c r="BE92" s="1" t="s">
        <v>73</v>
      </c>
      <c r="BF92" s="1" t="s">
        <v>73</v>
      </c>
      <c r="BG92" s="1" t="s">
        <v>73</v>
      </c>
      <c r="BH92" s="1" t="s">
        <v>73</v>
      </c>
      <c r="BI92" s="1" t="s">
        <v>73</v>
      </c>
      <c r="BJ92" s="1" t="s">
        <v>73</v>
      </c>
      <c r="BK92" s="1"/>
      <c r="BL92" s="1" t="s">
        <v>73</v>
      </c>
      <c r="BM92" s="1" t="s">
        <v>73</v>
      </c>
      <c r="BN92" s="1" t="s">
        <v>73</v>
      </c>
      <c r="BO92" s="1" t="s">
        <v>73</v>
      </c>
      <c r="BP92" s="1" t="s">
        <v>73</v>
      </c>
      <c r="BQ92" s="1" t="s">
        <v>73</v>
      </c>
      <c r="BR92" s="1"/>
      <c r="BS92" s="1" t="s">
        <v>75</v>
      </c>
      <c r="BT92" s="1" t="s">
        <v>280</v>
      </c>
      <c r="BU92" s="1" t="s">
        <v>281</v>
      </c>
      <c r="BV92" s="1" t="s">
        <v>282</v>
      </c>
      <c r="BW92" s="1">
        <v>12</v>
      </c>
      <c r="CB92"/>
      <c r="CC92"/>
    </row>
    <row r="93" spans="1:81" ht="16" x14ac:dyDescent="0.2">
      <c r="A93" t="s">
        <v>138</v>
      </c>
      <c r="B93" t="s">
        <v>269</v>
      </c>
      <c r="C93" t="s">
        <v>270</v>
      </c>
      <c r="D93" s="1" t="s">
        <v>73</v>
      </c>
      <c r="E93" s="1" t="s">
        <v>72</v>
      </c>
      <c r="F93" s="1" t="s">
        <v>73</v>
      </c>
      <c r="G93" s="1" t="s">
        <v>73</v>
      </c>
      <c r="H93" s="1"/>
      <c r="I93" s="1"/>
      <c r="J93">
        <v>5</v>
      </c>
      <c r="N93" s="1"/>
      <c r="O93" s="1"/>
      <c r="P93" s="1"/>
      <c r="Q93" s="1" t="s">
        <v>73</v>
      </c>
      <c r="R93" s="1" t="s">
        <v>73</v>
      </c>
      <c r="S93" s="1" t="s">
        <v>73</v>
      </c>
      <c r="T93" s="79"/>
      <c r="U93" s="79"/>
      <c r="V93" s="1"/>
      <c r="W93" s="1"/>
      <c r="X93" s="1"/>
      <c r="Y93" s="1"/>
      <c r="Z93" s="1" t="s">
        <v>73</v>
      </c>
      <c r="AA93" s="1" t="s">
        <v>73</v>
      </c>
      <c r="AC93" s="1">
        <v>5</v>
      </c>
      <c r="AE93" s="1">
        <v>2</v>
      </c>
      <c r="AF93" s="1"/>
      <c r="AG93">
        <v>5</v>
      </c>
      <c r="AI93">
        <v>2</v>
      </c>
      <c r="AK93" s="1" t="s">
        <v>73</v>
      </c>
      <c r="AL93" s="1" t="s">
        <v>72</v>
      </c>
      <c r="AM93">
        <v>4</v>
      </c>
      <c r="AN93" s="1" t="s">
        <v>72</v>
      </c>
      <c r="AO93">
        <v>4</v>
      </c>
      <c r="AP93" s="1" t="s">
        <v>73</v>
      </c>
      <c r="AR93" s="1" t="s">
        <v>72</v>
      </c>
      <c r="AS93">
        <v>4</v>
      </c>
      <c r="AT93" t="s">
        <v>73</v>
      </c>
      <c r="AW93" s="1">
        <v>50</v>
      </c>
      <c r="AX93" s="1">
        <v>10</v>
      </c>
      <c r="AY93" s="1" t="s">
        <v>73</v>
      </c>
      <c r="AZ93" s="1" t="s">
        <v>73</v>
      </c>
      <c r="BA93" s="126" t="s">
        <v>73</v>
      </c>
      <c r="BB93" s="1">
        <v>1909</v>
      </c>
      <c r="BC93" s="100">
        <v>45649.61141203704</v>
      </c>
      <c r="BD93" s="85">
        <v>45649.569745370369</v>
      </c>
      <c r="BE93" s="1" t="s">
        <v>73</v>
      </c>
      <c r="BF93" s="1" t="s">
        <v>73</v>
      </c>
      <c r="BG93" s="1" t="s">
        <v>73</v>
      </c>
      <c r="BH93" s="1" t="s">
        <v>73</v>
      </c>
      <c r="BI93" s="1" t="s">
        <v>73</v>
      </c>
      <c r="BJ93" s="1" t="s">
        <v>73</v>
      </c>
      <c r="BK93" s="1"/>
      <c r="BL93" s="1" t="s">
        <v>73</v>
      </c>
      <c r="BM93" s="1" t="s">
        <v>73</v>
      </c>
      <c r="BN93" s="1" t="s">
        <v>73</v>
      </c>
      <c r="BO93" s="1" t="s">
        <v>73</v>
      </c>
      <c r="BP93" s="1" t="s">
        <v>73</v>
      </c>
      <c r="BQ93" s="1" t="s">
        <v>73</v>
      </c>
      <c r="BR93" s="1"/>
      <c r="BS93" s="1" t="s">
        <v>73</v>
      </c>
      <c r="BT93" s="1" t="s">
        <v>73</v>
      </c>
      <c r="BU93" s="1" t="s">
        <v>73</v>
      </c>
      <c r="BV93" s="1" t="s">
        <v>73</v>
      </c>
      <c r="BW93" s="1"/>
      <c r="CB93"/>
      <c r="CC93"/>
    </row>
    <row r="94" spans="1:81" ht="16" x14ac:dyDescent="0.2">
      <c r="A94" t="s">
        <v>138</v>
      </c>
      <c r="B94" t="s">
        <v>185</v>
      </c>
      <c r="C94" t="s">
        <v>133</v>
      </c>
      <c r="D94" s="1" t="s">
        <v>73</v>
      </c>
      <c r="E94" s="1" t="s">
        <v>72</v>
      </c>
      <c r="F94" s="1" t="s">
        <v>73</v>
      </c>
      <c r="G94" s="1" t="s">
        <v>73</v>
      </c>
      <c r="H94" s="1"/>
      <c r="I94" s="1">
        <v>9</v>
      </c>
      <c r="J94">
        <v>3</v>
      </c>
      <c r="L94">
        <v>3</v>
      </c>
      <c r="N94" s="1"/>
      <c r="O94" s="1"/>
      <c r="P94" s="1"/>
      <c r="Q94" s="1" t="s">
        <v>73</v>
      </c>
      <c r="R94" s="1" t="s">
        <v>73</v>
      </c>
      <c r="S94" s="1" t="s">
        <v>73</v>
      </c>
      <c r="T94" s="79"/>
      <c r="U94" s="79"/>
      <c r="V94" s="1"/>
      <c r="W94" s="1"/>
      <c r="X94" s="1"/>
      <c r="Y94" s="1"/>
      <c r="Z94" s="1" t="s">
        <v>73</v>
      </c>
      <c r="AA94" s="1" t="s">
        <v>73</v>
      </c>
      <c r="AC94" s="1">
        <v>3</v>
      </c>
      <c r="AE94" s="1"/>
      <c r="AF94" s="1"/>
      <c r="AG94">
        <v>3</v>
      </c>
      <c r="AK94" s="1" t="s">
        <v>73</v>
      </c>
      <c r="AL94" s="1" t="s">
        <v>72</v>
      </c>
      <c r="AM94">
        <v>6</v>
      </c>
      <c r="AN94" s="1" t="s">
        <v>72</v>
      </c>
      <c r="AO94">
        <v>6</v>
      </c>
      <c r="AP94" s="1" t="s">
        <v>73</v>
      </c>
      <c r="AR94" s="1" t="s">
        <v>72</v>
      </c>
      <c r="AS94">
        <v>6</v>
      </c>
      <c r="AT94" t="s">
        <v>73</v>
      </c>
      <c r="AW94" s="1">
        <v>68</v>
      </c>
      <c r="AX94" s="1">
        <v>3</v>
      </c>
      <c r="AY94" s="1" t="s">
        <v>73</v>
      </c>
      <c r="AZ94" s="1" t="s">
        <v>73</v>
      </c>
      <c r="BA94" s="126" t="s">
        <v>73</v>
      </c>
      <c r="BB94" s="1">
        <v>1904</v>
      </c>
      <c r="BC94" s="100">
        <v>45649.545995370368</v>
      </c>
      <c r="BD94" s="85">
        <v>45655.582002314812</v>
      </c>
      <c r="BE94" s="1" t="s">
        <v>73</v>
      </c>
      <c r="BF94" s="1" t="s">
        <v>73</v>
      </c>
      <c r="BG94" s="1" t="s">
        <v>73</v>
      </c>
      <c r="BH94" s="1" t="s">
        <v>73</v>
      </c>
      <c r="BI94" s="1" t="s">
        <v>73</v>
      </c>
      <c r="BJ94" s="1" t="s">
        <v>73</v>
      </c>
      <c r="BK94" s="1"/>
      <c r="BL94" s="1" t="s">
        <v>73</v>
      </c>
      <c r="BM94" s="1" t="s">
        <v>73</v>
      </c>
      <c r="BN94" s="1" t="s">
        <v>73</v>
      </c>
      <c r="BO94" s="1" t="s">
        <v>73</v>
      </c>
      <c r="BP94" s="1" t="s">
        <v>73</v>
      </c>
      <c r="BQ94" s="1" t="s">
        <v>73</v>
      </c>
      <c r="BR94" s="1"/>
      <c r="BS94" s="1" t="s">
        <v>73</v>
      </c>
      <c r="BT94" s="1" t="s">
        <v>73</v>
      </c>
      <c r="BU94" s="1" t="s">
        <v>73</v>
      </c>
      <c r="BV94" s="1" t="s">
        <v>73</v>
      </c>
      <c r="BW94" s="1"/>
      <c r="CB94"/>
      <c r="CC94"/>
    </row>
    <row r="95" spans="1:81" ht="16" x14ac:dyDescent="0.2">
      <c r="A95" t="s">
        <v>138</v>
      </c>
      <c r="B95" t="s">
        <v>174</v>
      </c>
      <c r="C95" t="s">
        <v>130</v>
      </c>
      <c r="D95" s="1" t="s">
        <v>73</v>
      </c>
      <c r="E95" s="1" t="s">
        <v>72</v>
      </c>
      <c r="F95" s="1" t="s">
        <v>73</v>
      </c>
      <c r="G95" s="1" t="s">
        <v>73</v>
      </c>
      <c r="H95" s="1"/>
      <c r="I95" s="1">
        <v>4</v>
      </c>
      <c r="N95" s="1"/>
      <c r="O95" s="1"/>
      <c r="P95" s="1"/>
      <c r="Q95" s="1" t="s">
        <v>73</v>
      </c>
      <c r="R95" s="1" t="s">
        <v>73</v>
      </c>
      <c r="S95" s="1" t="s">
        <v>73</v>
      </c>
      <c r="T95" s="79"/>
      <c r="U95" s="79"/>
      <c r="V95" s="1"/>
      <c r="W95" s="1"/>
      <c r="X95" s="1"/>
      <c r="Y95" s="1"/>
      <c r="Z95" s="1" t="s">
        <v>73</v>
      </c>
      <c r="AA95" s="1" t="s">
        <v>73</v>
      </c>
      <c r="AC95" s="1"/>
      <c r="AE95" s="1"/>
      <c r="AF95" s="1"/>
      <c r="AK95" s="1" t="s">
        <v>73</v>
      </c>
      <c r="AL95" s="1" t="s">
        <v>72</v>
      </c>
      <c r="AM95">
        <v>4</v>
      </c>
      <c r="AN95" s="1" t="s">
        <v>72</v>
      </c>
      <c r="AO95">
        <v>4</v>
      </c>
      <c r="AP95" s="1" t="s">
        <v>73</v>
      </c>
      <c r="AR95" s="1" t="s">
        <v>73</v>
      </c>
      <c r="AT95" t="s">
        <v>73</v>
      </c>
      <c r="AW95" s="1">
        <v>35</v>
      </c>
      <c r="AX95" s="1">
        <v>0</v>
      </c>
      <c r="AY95" s="1" t="s">
        <v>73</v>
      </c>
      <c r="AZ95" s="1" t="s">
        <v>73</v>
      </c>
      <c r="BA95" s="126" t="s">
        <v>73</v>
      </c>
      <c r="BB95" s="1">
        <v>1901</v>
      </c>
      <c r="BC95" s="100">
        <v>45649.41201388889</v>
      </c>
      <c r="BD95" s="85">
        <v>45649.370347222219</v>
      </c>
      <c r="BE95" s="1" t="s">
        <v>73</v>
      </c>
      <c r="BF95" s="1" t="s">
        <v>73</v>
      </c>
      <c r="BG95" s="1" t="s">
        <v>73</v>
      </c>
      <c r="BH95" s="1" t="s">
        <v>73</v>
      </c>
      <c r="BI95" s="1" t="s">
        <v>73</v>
      </c>
      <c r="BJ95" s="1" t="s">
        <v>73</v>
      </c>
      <c r="BK95" s="1"/>
      <c r="BL95" s="1" t="s">
        <v>73</v>
      </c>
      <c r="BM95" s="1" t="s">
        <v>73</v>
      </c>
      <c r="BN95" s="1" t="s">
        <v>73</v>
      </c>
      <c r="BO95" s="1" t="s">
        <v>73</v>
      </c>
      <c r="BP95" s="1" t="s">
        <v>73</v>
      </c>
      <c r="BQ95" s="1" t="s">
        <v>73</v>
      </c>
      <c r="BR95" s="1"/>
      <c r="BS95" s="1" t="s">
        <v>73</v>
      </c>
      <c r="BT95" s="1" t="s">
        <v>73</v>
      </c>
      <c r="BU95" s="1" t="s">
        <v>73</v>
      </c>
      <c r="BV95" s="1" t="s">
        <v>73</v>
      </c>
      <c r="BW95" s="1"/>
      <c r="CB95"/>
      <c r="CC95"/>
    </row>
    <row r="96" spans="1:81" ht="16" x14ac:dyDescent="0.2">
      <c r="A96" t="s">
        <v>138</v>
      </c>
      <c r="B96" t="s">
        <v>262</v>
      </c>
      <c r="C96" t="s">
        <v>263</v>
      </c>
      <c r="D96" s="1" t="s">
        <v>73</v>
      </c>
      <c r="E96" s="1" t="s">
        <v>72</v>
      </c>
      <c r="F96" s="1" t="s">
        <v>72</v>
      </c>
      <c r="G96" s="1" t="s">
        <v>72</v>
      </c>
      <c r="H96" s="1" t="s">
        <v>74</v>
      </c>
      <c r="I96" s="1">
        <v>10</v>
      </c>
      <c r="L96">
        <v>3</v>
      </c>
      <c r="N96" s="1">
        <v>4</v>
      </c>
      <c r="O96" s="1"/>
      <c r="P96" s="1"/>
      <c r="Q96" s="1" t="s">
        <v>73</v>
      </c>
      <c r="R96" s="1" t="s">
        <v>73</v>
      </c>
      <c r="S96" s="1" t="s">
        <v>73</v>
      </c>
      <c r="T96" s="79">
        <v>1</v>
      </c>
      <c r="U96" s="79">
        <v>1</v>
      </c>
      <c r="V96" s="1">
        <v>1</v>
      </c>
      <c r="W96" s="1">
        <v>1</v>
      </c>
      <c r="X96" s="1">
        <v>1</v>
      </c>
      <c r="Y96" s="1">
        <v>1</v>
      </c>
      <c r="Z96" s="1" t="s">
        <v>73</v>
      </c>
      <c r="AA96" s="1" t="s">
        <v>73</v>
      </c>
      <c r="AB96">
        <v>5</v>
      </c>
      <c r="AC96" s="1">
        <v>9</v>
      </c>
      <c r="AE96" s="1">
        <v>1</v>
      </c>
      <c r="AF96" s="1"/>
      <c r="AG96">
        <v>9</v>
      </c>
      <c r="AI96">
        <v>1</v>
      </c>
      <c r="AK96" s="1" t="s">
        <v>73</v>
      </c>
      <c r="AL96" s="1" t="s">
        <v>72</v>
      </c>
      <c r="AM96">
        <v>6</v>
      </c>
      <c r="AN96" s="1" t="s">
        <v>73</v>
      </c>
      <c r="AP96" s="1" t="s">
        <v>73</v>
      </c>
      <c r="AR96" s="1" t="s">
        <v>72</v>
      </c>
      <c r="AS96">
        <v>6</v>
      </c>
      <c r="AT96" t="s">
        <v>72</v>
      </c>
      <c r="AU96">
        <v>1</v>
      </c>
      <c r="AV96">
        <v>1</v>
      </c>
      <c r="AW96" s="1">
        <v>70</v>
      </c>
      <c r="AX96" s="1">
        <v>26</v>
      </c>
      <c r="AY96" s="1" t="s">
        <v>73</v>
      </c>
      <c r="AZ96" s="1" t="s">
        <v>73</v>
      </c>
      <c r="BA96" s="126" t="s">
        <v>73</v>
      </c>
      <c r="BB96" s="1">
        <v>1900</v>
      </c>
      <c r="BC96" s="100">
        <v>45648.900243055556</v>
      </c>
      <c r="BD96" s="85">
        <v>45648.858576388891</v>
      </c>
      <c r="BE96" s="1" t="s">
        <v>73</v>
      </c>
      <c r="BF96" s="1" t="s">
        <v>73</v>
      </c>
      <c r="BG96" s="1" t="s">
        <v>73</v>
      </c>
      <c r="BH96" s="1" t="s">
        <v>73</v>
      </c>
      <c r="BI96" s="1" t="s">
        <v>73</v>
      </c>
      <c r="BJ96" s="1" t="s">
        <v>73</v>
      </c>
      <c r="BK96" s="1"/>
      <c r="BL96" s="1" t="s">
        <v>73</v>
      </c>
      <c r="BM96" s="1" t="s">
        <v>73</v>
      </c>
      <c r="BN96" s="1" t="s">
        <v>73</v>
      </c>
      <c r="BO96" s="1" t="s">
        <v>73</v>
      </c>
      <c r="BP96" s="1" t="s">
        <v>73</v>
      </c>
      <c r="BQ96" s="1" t="s">
        <v>73</v>
      </c>
      <c r="BR96" s="1"/>
      <c r="BS96" s="1" t="s">
        <v>75</v>
      </c>
      <c r="BT96" s="1" t="s">
        <v>264</v>
      </c>
      <c r="BU96" s="1" t="s">
        <v>268</v>
      </c>
      <c r="BV96" s="1" t="s">
        <v>266</v>
      </c>
      <c r="BW96" s="1">
        <v>20</v>
      </c>
      <c r="CB96"/>
      <c r="CC96"/>
    </row>
    <row r="97" spans="1:81" ht="64" x14ac:dyDescent="0.2">
      <c r="A97" t="s">
        <v>138</v>
      </c>
      <c r="B97" t="s">
        <v>259</v>
      </c>
      <c r="C97" t="s">
        <v>260</v>
      </c>
      <c r="D97" s="1" t="s">
        <v>73</v>
      </c>
      <c r="E97" s="1" t="s">
        <v>73</v>
      </c>
      <c r="F97" s="1" t="s">
        <v>72</v>
      </c>
      <c r="G97" s="1" t="s">
        <v>73</v>
      </c>
      <c r="H97" s="1"/>
      <c r="I97" s="1">
        <v>4</v>
      </c>
      <c r="N97" s="1"/>
      <c r="O97" s="1"/>
      <c r="P97" s="1"/>
      <c r="Q97" s="1" t="s">
        <v>73</v>
      </c>
      <c r="R97" s="1" t="s">
        <v>73</v>
      </c>
      <c r="S97" s="1" t="s">
        <v>73</v>
      </c>
      <c r="T97" s="79"/>
      <c r="U97" s="79"/>
      <c r="V97" s="1"/>
      <c r="W97" s="1"/>
      <c r="X97" s="1"/>
      <c r="Y97" s="1"/>
      <c r="Z97" s="1" t="s">
        <v>73</v>
      </c>
      <c r="AA97" s="1" t="s">
        <v>73</v>
      </c>
      <c r="AC97" s="1"/>
      <c r="AE97" s="1"/>
      <c r="AF97" s="1"/>
      <c r="AK97" s="1" t="s">
        <v>73</v>
      </c>
      <c r="AL97" s="1" t="s">
        <v>72</v>
      </c>
      <c r="AM97">
        <v>6</v>
      </c>
      <c r="AN97" s="1" t="s">
        <v>72</v>
      </c>
      <c r="AO97">
        <v>6</v>
      </c>
      <c r="AP97" s="1" t="s">
        <v>73</v>
      </c>
      <c r="AR97" s="1" t="s">
        <v>73</v>
      </c>
      <c r="AT97" t="s">
        <v>73</v>
      </c>
      <c r="AW97" s="1">
        <v>15</v>
      </c>
      <c r="AX97" s="1">
        <v>2</v>
      </c>
      <c r="AY97" s="1" t="s">
        <v>73</v>
      </c>
      <c r="AZ97" s="1" t="s">
        <v>73</v>
      </c>
      <c r="BA97" s="126" t="s">
        <v>261</v>
      </c>
      <c r="BB97" s="1">
        <v>1895</v>
      </c>
      <c r="BC97" s="100">
        <v>45648.814293981479</v>
      </c>
      <c r="BD97" s="85">
        <v>45648.772627314815</v>
      </c>
      <c r="BE97" s="1" t="s">
        <v>73</v>
      </c>
      <c r="BF97" s="1" t="s">
        <v>73</v>
      </c>
      <c r="BG97" s="1" t="s">
        <v>73</v>
      </c>
      <c r="BH97" s="1" t="s">
        <v>73</v>
      </c>
      <c r="BI97" s="1" t="s">
        <v>73</v>
      </c>
      <c r="BJ97" s="1" t="s">
        <v>73</v>
      </c>
      <c r="BK97" s="1"/>
      <c r="BL97" s="1" t="s">
        <v>73</v>
      </c>
      <c r="BM97" s="1" t="s">
        <v>73</v>
      </c>
      <c r="BN97" s="1" t="s">
        <v>73</v>
      </c>
      <c r="BO97" s="1" t="s">
        <v>73</v>
      </c>
      <c r="BP97" s="1" t="s">
        <v>73</v>
      </c>
      <c r="BQ97" s="1" t="s">
        <v>73</v>
      </c>
      <c r="BR97" s="1"/>
      <c r="BS97" s="1" t="s">
        <v>73</v>
      </c>
      <c r="BT97" s="1" t="s">
        <v>73</v>
      </c>
      <c r="BU97" s="1" t="s">
        <v>73</v>
      </c>
      <c r="BV97" s="1" t="s">
        <v>73</v>
      </c>
      <c r="BW97" s="1"/>
      <c r="CB97"/>
      <c r="CC97"/>
    </row>
    <row r="98" spans="1:81" ht="16" x14ac:dyDescent="0.2">
      <c r="A98" t="s">
        <v>138</v>
      </c>
      <c r="B98" t="s">
        <v>257</v>
      </c>
      <c r="C98" t="s">
        <v>258</v>
      </c>
      <c r="D98" s="1" t="s">
        <v>72</v>
      </c>
      <c r="E98" s="1" t="s">
        <v>73</v>
      </c>
      <c r="F98" s="1" t="s">
        <v>73</v>
      </c>
      <c r="G98" s="1" t="s">
        <v>73</v>
      </c>
      <c r="H98" s="1"/>
      <c r="I98" s="1"/>
      <c r="N98" s="1"/>
      <c r="O98" s="1"/>
      <c r="P98" s="1"/>
      <c r="Q98" s="1" t="s">
        <v>73</v>
      </c>
      <c r="R98" s="1" t="s">
        <v>73</v>
      </c>
      <c r="S98" s="1" t="s">
        <v>73</v>
      </c>
      <c r="T98" s="79"/>
      <c r="U98" s="79"/>
      <c r="V98" s="1"/>
      <c r="W98" s="1"/>
      <c r="X98" s="1"/>
      <c r="Y98" s="1"/>
      <c r="Z98" s="1" t="s">
        <v>73</v>
      </c>
      <c r="AA98" s="1" t="s">
        <v>73</v>
      </c>
      <c r="AC98" s="1"/>
      <c r="AE98" s="1"/>
      <c r="AF98" s="1"/>
      <c r="AK98" s="1" t="s">
        <v>73</v>
      </c>
      <c r="AL98" s="1" t="s">
        <v>73</v>
      </c>
      <c r="AN98" s="1" t="s">
        <v>73</v>
      </c>
      <c r="AP98" s="1" t="s">
        <v>73</v>
      </c>
      <c r="AR98" s="1" t="s">
        <v>73</v>
      </c>
      <c r="AT98" t="s">
        <v>73</v>
      </c>
      <c r="AW98" s="1">
        <v>4</v>
      </c>
      <c r="AX98" s="1">
        <v>0</v>
      </c>
      <c r="AY98" s="1" t="s">
        <v>73</v>
      </c>
      <c r="AZ98" s="1" t="s">
        <v>73</v>
      </c>
      <c r="BA98" s="126" t="s">
        <v>73</v>
      </c>
      <c r="BB98" s="1">
        <v>1892</v>
      </c>
      <c r="BC98" s="100">
        <v>45648.416087962964</v>
      </c>
      <c r="BD98" s="85">
        <v>45648.374421296299</v>
      </c>
      <c r="BE98" s="1" t="s">
        <v>73</v>
      </c>
      <c r="BF98" s="1" t="s">
        <v>73</v>
      </c>
      <c r="BG98" s="1" t="s">
        <v>73</v>
      </c>
      <c r="BH98" s="1" t="s">
        <v>73</v>
      </c>
      <c r="BI98" s="1" t="s">
        <v>73</v>
      </c>
      <c r="BJ98" s="1" t="s">
        <v>73</v>
      </c>
      <c r="BK98" s="1"/>
      <c r="BL98" s="1" t="s">
        <v>73</v>
      </c>
      <c r="BM98" s="1" t="s">
        <v>73</v>
      </c>
      <c r="BN98" s="1" t="s">
        <v>73</v>
      </c>
      <c r="BO98" s="1" t="s">
        <v>73</v>
      </c>
      <c r="BP98" s="1" t="s">
        <v>73</v>
      </c>
      <c r="BQ98" s="1" t="s">
        <v>73</v>
      </c>
      <c r="BR98" s="1"/>
      <c r="BS98" s="1" t="s">
        <v>73</v>
      </c>
      <c r="BT98" s="1" t="s">
        <v>73</v>
      </c>
      <c r="BU98" s="1" t="s">
        <v>73</v>
      </c>
      <c r="BV98" s="1" t="s">
        <v>73</v>
      </c>
      <c r="BW98" s="1"/>
      <c r="CB98"/>
      <c r="CC98"/>
    </row>
    <row r="99" spans="1:81" ht="16" x14ac:dyDescent="0.2">
      <c r="A99" t="s">
        <v>138</v>
      </c>
      <c r="B99" t="s">
        <v>247</v>
      </c>
      <c r="C99" t="s">
        <v>248</v>
      </c>
      <c r="D99" s="1" t="s">
        <v>73</v>
      </c>
      <c r="E99" s="1" t="s">
        <v>72</v>
      </c>
      <c r="F99" s="1" t="s">
        <v>72</v>
      </c>
      <c r="G99" s="1" t="s">
        <v>73</v>
      </c>
      <c r="H99" s="1"/>
      <c r="I99" s="1">
        <v>8</v>
      </c>
      <c r="J99">
        <v>3</v>
      </c>
      <c r="N99" s="1"/>
      <c r="O99" s="1"/>
      <c r="P99" s="1"/>
      <c r="Q99" s="1" t="s">
        <v>73</v>
      </c>
      <c r="R99" s="1" t="s">
        <v>73</v>
      </c>
      <c r="S99" s="1" t="s">
        <v>73</v>
      </c>
      <c r="T99" s="79"/>
      <c r="U99" s="79"/>
      <c r="V99" s="1"/>
      <c r="W99" s="1"/>
      <c r="X99" s="1"/>
      <c r="Y99" s="1"/>
      <c r="Z99" s="1" t="s">
        <v>73</v>
      </c>
      <c r="AA99" s="1" t="s">
        <v>73</v>
      </c>
      <c r="AC99" s="1"/>
      <c r="AE99" s="1"/>
      <c r="AF99" s="1"/>
      <c r="AK99" s="1" t="s">
        <v>73</v>
      </c>
      <c r="AL99" s="1" t="s">
        <v>73</v>
      </c>
      <c r="AN99" s="1" t="s">
        <v>73</v>
      </c>
      <c r="AP99" s="1" t="s">
        <v>73</v>
      </c>
      <c r="AR99" s="1" t="s">
        <v>73</v>
      </c>
      <c r="AT99" t="s">
        <v>72</v>
      </c>
      <c r="AU99">
        <v>1</v>
      </c>
      <c r="AV99">
        <v>1</v>
      </c>
      <c r="AW99" s="1">
        <v>35</v>
      </c>
      <c r="AX99" s="1">
        <v>4</v>
      </c>
      <c r="AY99" s="1" t="s">
        <v>73</v>
      </c>
      <c r="AZ99" s="1" t="s">
        <v>73</v>
      </c>
      <c r="BA99" s="126" t="s">
        <v>73</v>
      </c>
      <c r="BB99" s="1">
        <v>1889</v>
      </c>
      <c r="BC99" s="100">
        <v>45647.568692129629</v>
      </c>
      <c r="BD99" s="85">
        <v>45657.428495370368</v>
      </c>
      <c r="BE99" s="1" t="s">
        <v>73</v>
      </c>
      <c r="BF99" s="1" t="s">
        <v>73</v>
      </c>
      <c r="BG99" s="1" t="s">
        <v>73</v>
      </c>
      <c r="BH99" s="1" t="s">
        <v>73</v>
      </c>
      <c r="BI99" s="1" t="s">
        <v>73</v>
      </c>
      <c r="BJ99" s="1" t="s">
        <v>73</v>
      </c>
      <c r="BK99" s="1"/>
      <c r="BL99" s="1" t="s">
        <v>73</v>
      </c>
      <c r="BM99" s="1" t="s">
        <v>73</v>
      </c>
      <c r="BN99" s="1" t="s">
        <v>73</v>
      </c>
      <c r="BO99" s="1" t="s">
        <v>73</v>
      </c>
      <c r="BP99" s="1" t="s">
        <v>73</v>
      </c>
      <c r="BQ99" s="1" t="s">
        <v>73</v>
      </c>
      <c r="BR99" s="1"/>
      <c r="BS99" s="1" t="s">
        <v>73</v>
      </c>
      <c r="BT99" s="1" t="s">
        <v>73</v>
      </c>
      <c r="BU99" s="1" t="s">
        <v>73</v>
      </c>
      <c r="BV99" s="1" t="s">
        <v>73</v>
      </c>
      <c r="BW99" s="1"/>
      <c r="CB99"/>
      <c r="CC99"/>
    </row>
    <row r="100" spans="1:81" ht="16" x14ac:dyDescent="0.2">
      <c r="A100" t="s">
        <v>138</v>
      </c>
      <c r="B100" t="s">
        <v>249</v>
      </c>
      <c r="C100" t="s">
        <v>250</v>
      </c>
      <c r="D100" s="1" t="s">
        <v>73</v>
      </c>
      <c r="E100" s="1" t="s">
        <v>72</v>
      </c>
      <c r="F100" s="1" t="s">
        <v>72</v>
      </c>
      <c r="G100" s="1" t="s">
        <v>73</v>
      </c>
      <c r="H100" s="1"/>
      <c r="I100" s="1">
        <v>7</v>
      </c>
      <c r="J100">
        <v>3</v>
      </c>
      <c r="N100" s="1"/>
      <c r="O100" s="1"/>
      <c r="P100" s="1"/>
      <c r="Q100" s="1" t="s">
        <v>73</v>
      </c>
      <c r="R100" s="1" t="s">
        <v>73</v>
      </c>
      <c r="S100" s="1" t="s">
        <v>73</v>
      </c>
      <c r="T100" s="79"/>
      <c r="U100" s="79">
        <v>1</v>
      </c>
      <c r="V100" s="1"/>
      <c r="W100" s="1"/>
      <c r="X100" s="1">
        <v>1</v>
      </c>
      <c r="Y100" s="1"/>
      <c r="Z100" s="1" t="s">
        <v>72</v>
      </c>
      <c r="AA100" s="1" t="s">
        <v>73</v>
      </c>
      <c r="AC100" s="1"/>
      <c r="AE100" s="1"/>
      <c r="AF100" s="1"/>
      <c r="AK100" s="1" t="s">
        <v>73</v>
      </c>
      <c r="AL100" s="1" t="s">
        <v>72</v>
      </c>
      <c r="AM100">
        <v>6</v>
      </c>
      <c r="AN100" s="1" t="s">
        <v>73</v>
      </c>
      <c r="AP100" s="1" t="s">
        <v>73</v>
      </c>
      <c r="AR100" s="1" t="s">
        <v>72</v>
      </c>
      <c r="AS100">
        <v>5</v>
      </c>
      <c r="AT100" t="s">
        <v>72</v>
      </c>
      <c r="AU100">
        <v>2</v>
      </c>
      <c r="AV100">
        <v>2</v>
      </c>
      <c r="AW100" s="1">
        <v>25</v>
      </c>
      <c r="AX100" s="1">
        <v>4</v>
      </c>
      <c r="AY100" s="1" t="s">
        <v>73</v>
      </c>
      <c r="AZ100" s="1" t="s">
        <v>73</v>
      </c>
      <c r="BA100" s="126" t="s">
        <v>73</v>
      </c>
      <c r="BB100" s="1">
        <v>1888</v>
      </c>
      <c r="BC100" s="100">
        <v>45647.561111111114</v>
      </c>
      <c r="BD100" s="85">
        <v>45656.451249999998</v>
      </c>
      <c r="BE100" s="1" t="s">
        <v>250</v>
      </c>
      <c r="BF100" s="1" t="s">
        <v>251</v>
      </c>
      <c r="BG100" s="1" t="s">
        <v>76</v>
      </c>
      <c r="BH100" s="1" t="s">
        <v>252</v>
      </c>
      <c r="BI100" s="1" t="s">
        <v>253</v>
      </c>
      <c r="BJ100" s="1" t="s">
        <v>253</v>
      </c>
      <c r="BK100" s="1">
        <v>8</v>
      </c>
      <c r="BL100" s="1" t="s">
        <v>73</v>
      </c>
      <c r="BM100" s="1" t="s">
        <v>73</v>
      </c>
      <c r="BN100" s="1" t="s">
        <v>73</v>
      </c>
      <c r="BO100" s="1" t="s">
        <v>73</v>
      </c>
      <c r="BP100" s="1" t="s">
        <v>73</v>
      </c>
      <c r="BQ100" s="1" t="s">
        <v>73</v>
      </c>
      <c r="BR100" s="1"/>
      <c r="BS100" s="1" t="s">
        <v>73</v>
      </c>
      <c r="BT100" s="1" t="s">
        <v>73</v>
      </c>
      <c r="BU100" s="1" t="s">
        <v>73</v>
      </c>
      <c r="BV100" s="1" t="s">
        <v>73</v>
      </c>
      <c r="BW100" s="1"/>
      <c r="CB100"/>
      <c r="CC100"/>
    </row>
    <row r="101" spans="1:81" ht="16" x14ac:dyDescent="0.2">
      <c r="A101" t="s">
        <v>138</v>
      </c>
      <c r="B101" t="s">
        <v>241</v>
      </c>
      <c r="C101" t="s">
        <v>242</v>
      </c>
      <c r="D101" s="1" t="s">
        <v>73</v>
      </c>
      <c r="E101" s="1" t="s">
        <v>72</v>
      </c>
      <c r="F101" s="1" t="s">
        <v>72</v>
      </c>
      <c r="G101" s="1" t="s">
        <v>73</v>
      </c>
      <c r="H101" s="1" t="s">
        <v>72</v>
      </c>
      <c r="I101" s="1">
        <v>6</v>
      </c>
      <c r="J101">
        <v>3</v>
      </c>
      <c r="N101" s="1"/>
      <c r="O101" s="1"/>
      <c r="P101" s="1"/>
      <c r="Q101" s="1" t="s">
        <v>73</v>
      </c>
      <c r="R101" s="1" t="s">
        <v>73</v>
      </c>
      <c r="S101" s="1" t="s">
        <v>73</v>
      </c>
      <c r="T101" s="79">
        <v>1</v>
      </c>
      <c r="U101" s="79"/>
      <c r="V101" s="1"/>
      <c r="W101" s="1">
        <v>1</v>
      </c>
      <c r="X101" s="1"/>
      <c r="Y101" s="1"/>
      <c r="Z101" s="1" t="s">
        <v>73</v>
      </c>
      <c r="AA101" s="1" t="s">
        <v>73</v>
      </c>
      <c r="AB101">
        <v>7</v>
      </c>
      <c r="AC101" s="1"/>
      <c r="AE101" s="1"/>
      <c r="AF101" s="1"/>
      <c r="AK101" s="1" t="s">
        <v>73</v>
      </c>
      <c r="AL101" s="1" t="s">
        <v>72</v>
      </c>
      <c r="AM101">
        <v>6</v>
      </c>
      <c r="AN101" s="1" t="s">
        <v>72</v>
      </c>
      <c r="AO101">
        <v>6</v>
      </c>
      <c r="AP101" s="1" t="s">
        <v>73</v>
      </c>
      <c r="AR101" s="1" t="s">
        <v>72</v>
      </c>
      <c r="AS101">
        <v>6</v>
      </c>
      <c r="AT101" t="s">
        <v>72</v>
      </c>
      <c r="AU101">
        <v>4</v>
      </c>
      <c r="AV101">
        <v>5</v>
      </c>
      <c r="AW101" s="1">
        <v>46</v>
      </c>
      <c r="AX101" s="1">
        <v>18</v>
      </c>
      <c r="AY101" s="1" t="s">
        <v>73</v>
      </c>
      <c r="AZ101" s="1" t="s">
        <v>73</v>
      </c>
      <c r="BA101" s="126" t="s">
        <v>73</v>
      </c>
      <c r="BB101" s="1">
        <v>1886</v>
      </c>
      <c r="BC101" s="100">
        <v>45647.555879629632</v>
      </c>
      <c r="BD101" s="85">
        <v>45657.487395833334</v>
      </c>
      <c r="BE101" s="1" t="s">
        <v>73</v>
      </c>
      <c r="BF101" s="1" t="s">
        <v>73</v>
      </c>
      <c r="BG101" s="1" t="s">
        <v>73</v>
      </c>
      <c r="BH101" s="1" t="s">
        <v>73</v>
      </c>
      <c r="BI101" s="1" t="s">
        <v>73</v>
      </c>
      <c r="BJ101" s="1" t="s">
        <v>73</v>
      </c>
      <c r="BK101" s="1"/>
      <c r="BL101" s="1" t="s">
        <v>73</v>
      </c>
      <c r="BM101" s="1" t="s">
        <v>73</v>
      </c>
      <c r="BN101" s="1" t="s">
        <v>73</v>
      </c>
      <c r="BO101" s="1" t="s">
        <v>73</v>
      </c>
      <c r="BP101" s="1" t="s">
        <v>73</v>
      </c>
      <c r="BQ101" s="1" t="s">
        <v>73</v>
      </c>
      <c r="BR101" s="1"/>
      <c r="BS101" s="1" t="s">
        <v>169</v>
      </c>
      <c r="BT101" s="1" t="s">
        <v>356</v>
      </c>
      <c r="BU101" s="1" t="s">
        <v>357</v>
      </c>
      <c r="BV101" s="1" t="s">
        <v>358</v>
      </c>
      <c r="BW101" s="1">
        <v>8</v>
      </c>
      <c r="CB101"/>
      <c r="CC101"/>
    </row>
    <row r="102" spans="1:81" ht="16" x14ac:dyDescent="0.2">
      <c r="A102" t="s">
        <v>138</v>
      </c>
      <c r="B102" t="s">
        <v>244</v>
      </c>
      <c r="C102" t="s">
        <v>245</v>
      </c>
      <c r="D102" s="1" t="s">
        <v>73</v>
      </c>
      <c r="E102" s="1" t="s">
        <v>72</v>
      </c>
      <c r="F102" s="1" t="s">
        <v>72</v>
      </c>
      <c r="G102" s="1" t="s">
        <v>73</v>
      </c>
      <c r="H102" s="1"/>
      <c r="I102" s="1">
        <v>7</v>
      </c>
      <c r="N102" s="1"/>
      <c r="O102" s="1"/>
      <c r="P102" s="1"/>
      <c r="Q102" s="1" t="s">
        <v>73</v>
      </c>
      <c r="R102" s="1" t="s">
        <v>73</v>
      </c>
      <c r="S102" s="1" t="s">
        <v>73</v>
      </c>
      <c r="T102" s="79">
        <v>2</v>
      </c>
      <c r="U102" s="79"/>
      <c r="V102" s="1"/>
      <c r="W102" s="1">
        <v>2</v>
      </c>
      <c r="X102" s="1"/>
      <c r="Y102" s="1"/>
      <c r="Z102" s="1" t="s">
        <v>72</v>
      </c>
      <c r="AA102" s="1" t="s">
        <v>73</v>
      </c>
      <c r="AC102" s="1">
        <v>2</v>
      </c>
      <c r="AE102" s="1"/>
      <c r="AF102" s="1"/>
      <c r="AG102">
        <v>2</v>
      </c>
      <c r="AK102" s="1" t="s">
        <v>73</v>
      </c>
      <c r="AL102" s="1" t="s">
        <v>72</v>
      </c>
      <c r="AM102">
        <v>6</v>
      </c>
      <c r="AN102" s="1" t="s">
        <v>72</v>
      </c>
      <c r="AO102">
        <v>6</v>
      </c>
      <c r="AP102" s="1" t="s">
        <v>73</v>
      </c>
      <c r="AR102" s="1" t="s">
        <v>72</v>
      </c>
      <c r="AS102">
        <v>6</v>
      </c>
      <c r="AT102" t="s">
        <v>72</v>
      </c>
      <c r="AU102">
        <v>1</v>
      </c>
      <c r="AW102" s="1">
        <v>75</v>
      </c>
      <c r="AX102" s="1">
        <v>5</v>
      </c>
      <c r="AY102" s="1" t="s">
        <v>73</v>
      </c>
      <c r="AZ102" s="1" t="s">
        <v>73</v>
      </c>
      <c r="BA102" s="126" t="s">
        <v>73</v>
      </c>
      <c r="BB102" s="1">
        <v>1881</v>
      </c>
      <c r="BC102" s="100">
        <v>45647.422800925924</v>
      </c>
      <c r="BD102" s="85">
        <v>45647.44159722222</v>
      </c>
      <c r="BE102" s="1" t="s">
        <v>245</v>
      </c>
      <c r="BF102" s="1" t="s">
        <v>78</v>
      </c>
      <c r="BG102" s="1" t="s">
        <v>215</v>
      </c>
      <c r="BH102" s="1" t="s">
        <v>162</v>
      </c>
      <c r="BI102" s="1" t="s">
        <v>246</v>
      </c>
      <c r="BJ102" s="1" t="s">
        <v>246</v>
      </c>
      <c r="BK102" s="1">
        <v>35</v>
      </c>
      <c r="BL102" s="1" t="s">
        <v>73</v>
      </c>
      <c r="BM102" s="1" t="s">
        <v>73</v>
      </c>
      <c r="BN102" s="1" t="s">
        <v>73</v>
      </c>
      <c r="BO102" s="1" t="s">
        <v>73</v>
      </c>
      <c r="BP102" s="1" t="s">
        <v>73</v>
      </c>
      <c r="BQ102" s="1" t="s">
        <v>73</v>
      </c>
      <c r="BR102" s="1"/>
      <c r="BS102" s="1" t="s">
        <v>73</v>
      </c>
      <c r="BT102" s="1" t="s">
        <v>73</v>
      </c>
      <c r="BU102" s="1" t="s">
        <v>73</v>
      </c>
      <c r="BV102" s="1" t="s">
        <v>73</v>
      </c>
      <c r="BW102" s="1"/>
      <c r="CB102"/>
      <c r="CC102"/>
    </row>
    <row r="103" spans="1:81" ht="16" x14ac:dyDescent="0.2">
      <c r="A103" t="s">
        <v>138</v>
      </c>
      <c r="B103" t="s">
        <v>207</v>
      </c>
      <c r="C103" t="s">
        <v>236</v>
      </c>
      <c r="D103" s="1" t="s">
        <v>73</v>
      </c>
      <c r="E103" s="1" t="s">
        <v>72</v>
      </c>
      <c r="F103" s="1" t="s">
        <v>72</v>
      </c>
      <c r="G103" s="1" t="s">
        <v>73</v>
      </c>
      <c r="H103" s="1"/>
      <c r="I103" s="1">
        <v>7</v>
      </c>
      <c r="N103" s="1"/>
      <c r="O103" s="1"/>
      <c r="P103" s="1"/>
      <c r="Q103" s="1" t="s">
        <v>73</v>
      </c>
      <c r="R103" s="1" t="s">
        <v>73</v>
      </c>
      <c r="S103" s="1" t="s">
        <v>73</v>
      </c>
      <c r="T103" s="79"/>
      <c r="U103" s="79"/>
      <c r="V103" s="1"/>
      <c r="W103" s="1"/>
      <c r="X103" s="1"/>
      <c r="Y103" s="1"/>
      <c r="Z103" s="1" t="s">
        <v>72</v>
      </c>
      <c r="AA103" s="1" t="s">
        <v>73</v>
      </c>
      <c r="AC103" s="1"/>
      <c r="AE103" s="1"/>
      <c r="AF103" s="1"/>
      <c r="AK103" s="1" t="s">
        <v>72</v>
      </c>
      <c r="AL103" s="1" t="s">
        <v>72</v>
      </c>
      <c r="AM103">
        <v>6</v>
      </c>
      <c r="AN103" s="1" t="s">
        <v>72</v>
      </c>
      <c r="AO103">
        <v>6</v>
      </c>
      <c r="AP103" s="1" t="s">
        <v>73</v>
      </c>
      <c r="AR103" s="1" t="s">
        <v>72</v>
      </c>
      <c r="AS103">
        <v>6</v>
      </c>
      <c r="AT103" t="s">
        <v>73</v>
      </c>
      <c r="AW103" s="1">
        <v>57</v>
      </c>
      <c r="AX103" s="1">
        <v>2</v>
      </c>
      <c r="AY103" s="1" t="s">
        <v>73</v>
      </c>
      <c r="AZ103" s="1" t="s">
        <v>73</v>
      </c>
      <c r="BA103" s="126" t="s">
        <v>73</v>
      </c>
      <c r="BB103" s="1">
        <v>1877</v>
      </c>
      <c r="BC103" s="100">
        <v>45646.491331018522</v>
      </c>
      <c r="BD103" s="85">
        <v>45655.502465277779</v>
      </c>
      <c r="BE103" s="1" t="s">
        <v>236</v>
      </c>
      <c r="BF103" s="1" t="s">
        <v>78</v>
      </c>
      <c r="BG103" s="1" t="s">
        <v>215</v>
      </c>
      <c r="BH103" s="1" t="s">
        <v>77</v>
      </c>
      <c r="BI103" s="1" t="s">
        <v>325</v>
      </c>
      <c r="BJ103" s="1" t="s">
        <v>325</v>
      </c>
      <c r="BK103" s="1">
        <v>31</v>
      </c>
      <c r="BL103" s="1" t="s">
        <v>73</v>
      </c>
      <c r="BM103" s="1" t="s">
        <v>73</v>
      </c>
      <c r="BN103" s="1" t="s">
        <v>73</v>
      </c>
      <c r="BO103" s="1" t="s">
        <v>73</v>
      </c>
      <c r="BP103" s="1" t="s">
        <v>73</v>
      </c>
      <c r="BQ103" s="1" t="s">
        <v>73</v>
      </c>
      <c r="BR103" s="1"/>
      <c r="BS103" s="1" t="s">
        <v>73</v>
      </c>
      <c r="BT103" s="1" t="s">
        <v>73</v>
      </c>
      <c r="BU103" s="1" t="s">
        <v>73</v>
      </c>
      <c r="BV103" s="1" t="s">
        <v>73</v>
      </c>
      <c r="BW103" s="1"/>
      <c r="CB103"/>
      <c r="CC103"/>
    </row>
    <row r="104" spans="1:81" ht="16" x14ac:dyDescent="0.2">
      <c r="A104" t="s">
        <v>138</v>
      </c>
      <c r="B104" t="s">
        <v>231</v>
      </c>
      <c r="C104" t="s">
        <v>232</v>
      </c>
      <c r="D104" s="1" t="s">
        <v>73</v>
      </c>
      <c r="E104" s="1" t="s">
        <v>72</v>
      </c>
      <c r="F104" s="1" t="s">
        <v>72</v>
      </c>
      <c r="G104" s="1" t="s">
        <v>73</v>
      </c>
      <c r="H104" s="1"/>
      <c r="I104" s="1">
        <v>10</v>
      </c>
      <c r="N104" s="1"/>
      <c r="O104" s="1"/>
      <c r="P104" s="1"/>
      <c r="Q104" s="1" t="s">
        <v>73</v>
      </c>
      <c r="R104" s="1" t="s">
        <v>73</v>
      </c>
      <c r="S104" s="1" t="s">
        <v>73</v>
      </c>
      <c r="T104" s="79"/>
      <c r="U104" s="79"/>
      <c r="V104" s="1"/>
      <c r="W104" s="1"/>
      <c r="X104" s="1"/>
      <c r="Y104" s="1"/>
      <c r="Z104" s="1" t="s">
        <v>73</v>
      </c>
      <c r="AA104" s="1" t="s">
        <v>73</v>
      </c>
      <c r="AC104" s="1">
        <v>5</v>
      </c>
      <c r="AE104" s="1"/>
      <c r="AF104" s="1"/>
      <c r="AG104">
        <v>5</v>
      </c>
      <c r="AK104" s="1" t="s">
        <v>72</v>
      </c>
      <c r="AL104" s="1" t="s">
        <v>72</v>
      </c>
      <c r="AM104">
        <v>3</v>
      </c>
      <c r="AN104" s="1" t="s">
        <v>72</v>
      </c>
      <c r="AO104">
        <v>3</v>
      </c>
      <c r="AP104" s="1" t="s">
        <v>73</v>
      </c>
      <c r="AR104" s="1" t="s">
        <v>73</v>
      </c>
      <c r="AT104" t="s">
        <v>73</v>
      </c>
      <c r="AW104" s="1">
        <v>70</v>
      </c>
      <c r="AX104" s="1">
        <v>5</v>
      </c>
      <c r="AY104" s="1" t="s">
        <v>72</v>
      </c>
      <c r="AZ104" s="1" t="s">
        <v>73</v>
      </c>
      <c r="BA104" s="126" t="s">
        <v>73</v>
      </c>
      <c r="BB104" s="1">
        <v>1874</v>
      </c>
      <c r="BC104" s="100">
        <v>45645.469895833332</v>
      </c>
      <c r="BD104" s="85">
        <v>45645.428229166668</v>
      </c>
      <c r="BE104" s="1" t="s">
        <v>73</v>
      </c>
      <c r="BF104" s="1" t="s">
        <v>73</v>
      </c>
      <c r="BG104" s="1" t="s">
        <v>73</v>
      </c>
      <c r="BH104" s="1" t="s">
        <v>73</v>
      </c>
      <c r="BI104" s="1" t="s">
        <v>73</v>
      </c>
      <c r="BJ104" s="1" t="s">
        <v>73</v>
      </c>
      <c r="BK104" s="1"/>
      <c r="BL104" s="1" t="s">
        <v>73</v>
      </c>
      <c r="BM104" s="1" t="s">
        <v>73</v>
      </c>
      <c r="BN104" s="1" t="s">
        <v>73</v>
      </c>
      <c r="BO104" s="1" t="s">
        <v>73</v>
      </c>
      <c r="BP104" s="1" t="s">
        <v>73</v>
      </c>
      <c r="BQ104" s="1" t="s">
        <v>73</v>
      </c>
      <c r="BR104" s="1"/>
      <c r="BS104" s="1" t="s">
        <v>73</v>
      </c>
      <c r="BT104" s="1" t="s">
        <v>73</v>
      </c>
      <c r="BU104" s="1" t="s">
        <v>73</v>
      </c>
      <c r="BV104" s="1" t="s">
        <v>73</v>
      </c>
      <c r="BW104" s="1"/>
      <c r="CB104"/>
      <c r="CC104"/>
    </row>
    <row r="105" spans="1:81" ht="16" x14ac:dyDescent="0.2">
      <c r="A105" t="s">
        <v>138</v>
      </c>
      <c r="B105" t="s">
        <v>237</v>
      </c>
      <c r="C105" t="s">
        <v>238</v>
      </c>
      <c r="D105" s="1" t="s">
        <v>73</v>
      </c>
      <c r="E105" s="1" t="s">
        <v>72</v>
      </c>
      <c r="F105" s="1" t="s">
        <v>72</v>
      </c>
      <c r="G105" s="1" t="s">
        <v>73</v>
      </c>
      <c r="H105" s="1"/>
      <c r="I105" s="1">
        <v>4</v>
      </c>
      <c r="N105" s="1"/>
      <c r="O105" s="1"/>
      <c r="P105" s="1"/>
      <c r="Q105" s="1" t="s">
        <v>73</v>
      </c>
      <c r="R105" s="1" t="s">
        <v>73</v>
      </c>
      <c r="S105" s="1" t="s">
        <v>73</v>
      </c>
      <c r="T105" s="79"/>
      <c r="U105" s="79"/>
      <c r="V105" s="1"/>
      <c r="W105" s="1"/>
      <c r="X105" s="1"/>
      <c r="Y105" s="1"/>
      <c r="Z105" s="1" t="s">
        <v>73</v>
      </c>
      <c r="AA105" s="1" t="s">
        <v>73</v>
      </c>
      <c r="AC105" s="1"/>
      <c r="AE105" s="1">
        <v>1</v>
      </c>
      <c r="AF105" s="1"/>
      <c r="AI105">
        <v>1</v>
      </c>
      <c r="AK105" s="1" t="s">
        <v>73</v>
      </c>
      <c r="AL105" s="1" t="s">
        <v>72</v>
      </c>
      <c r="AM105">
        <v>6</v>
      </c>
      <c r="AN105" s="1" t="s">
        <v>72</v>
      </c>
      <c r="AO105">
        <v>6</v>
      </c>
      <c r="AP105" s="1" t="s">
        <v>73</v>
      </c>
      <c r="AR105" s="1" t="s">
        <v>72</v>
      </c>
      <c r="AS105">
        <v>6</v>
      </c>
      <c r="AT105" t="s">
        <v>73</v>
      </c>
      <c r="AW105" s="1">
        <v>6</v>
      </c>
      <c r="AX105" s="1">
        <v>0</v>
      </c>
      <c r="AY105" s="1" t="s">
        <v>73</v>
      </c>
      <c r="AZ105" s="1" t="s">
        <v>73</v>
      </c>
      <c r="BA105" s="126" t="s">
        <v>73</v>
      </c>
      <c r="BB105" s="1">
        <v>1870</v>
      </c>
      <c r="BC105" s="100">
        <v>45645.403946759259</v>
      </c>
      <c r="BD105" s="85">
        <v>45645.362280092595</v>
      </c>
      <c r="BE105" s="1" t="s">
        <v>73</v>
      </c>
      <c r="BF105" s="1" t="s">
        <v>73</v>
      </c>
      <c r="BG105" s="1" t="s">
        <v>73</v>
      </c>
      <c r="BH105" s="1" t="s">
        <v>73</v>
      </c>
      <c r="BI105" s="1" t="s">
        <v>73</v>
      </c>
      <c r="BJ105" s="1" t="s">
        <v>73</v>
      </c>
      <c r="BK105" s="1"/>
      <c r="BL105" s="1" t="s">
        <v>73</v>
      </c>
      <c r="BM105" s="1" t="s">
        <v>73</v>
      </c>
      <c r="BN105" s="1" t="s">
        <v>73</v>
      </c>
      <c r="BO105" s="1" t="s">
        <v>73</v>
      </c>
      <c r="BP105" s="1" t="s">
        <v>73</v>
      </c>
      <c r="BQ105" s="1" t="s">
        <v>73</v>
      </c>
      <c r="BR105" s="1"/>
      <c r="BS105" s="1" t="s">
        <v>73</v>
      </c>
      <c r="BT105" s="1" t="s">
        <v>73</v>
      </c>
      <c r="BU105" s="1" t="s">
        <v>73</v>
      </c>
      <c r="BV105" s="1" t="s">
        <v>73</v>
      </c>
      <c r="BW105" s="1"/>
      <c r="CB105"/>
      <c r="CC105"/>
    </row>
    <row r="106" spans="1:81" ht="16" x14ac:dyDescent="0.2">
      <c r="A106" t="s">
        <v>138</v>
      </c>
      <c r="B106" t="s">
        <v>212</v>
      </c>
      <c r="C106" t="s">
        <v>213</v>
      </c>
      <c r="D106" s="1" t="s">
        <v>73</v>
      </c>
      <c r="E106" s="1" t="s">
        <v>72</v>
      </c>
      <c r="F106" s="1" t="s">
        <v>72</v>
      </c>
      <c r="G106" s="1" t="s">
        <v>73</v>
      </c>
      <c r="H106" s="1"/>
      <c r="I106" s="1">
        <v>6</v>
      </c>
      <c r="N106" s="1"/>
      <c r="O106" s="1"/>
      <c r="P106" s="1"/>
      <c r="Q106" s="1" t="s">
        <v>73</v>
      </c>
      <c r="R106" s="1" t="s">
        <v>73</v>
      </c>
      <c r="S106" s="1" t="s">
        <v>73</v>
      </c>
      <c r="T106" s="79"/>
      <c r="U106" s="79"/>
      <c r="V106" s="1"/>
      <c r="W106" s="1"/>
      <c r="X106" s="1"/>
      <c r="Y106" s="1"/>
      <c r="Z106" s="1" t="s">
        <v>72</v>
      </c>
      <c r="AA106" s="1" t="s">
        <v>73</v>
      </c>
      <c r="AC106" s="1"/>
      <c r="AE106" s="1"/>
      <c r="AF106" s="1"/>
      <c r="AK106" s="1" t="s">
        <v>73</v>
      </c>
      <c r="AL106" s="1" t="s">
        <v>72</v>
      </c>
      <c r="AM106">
        <v>6</v>
      </c>
      <c r="AN106" s="1" t="s">
        <v>72</v>
      </c>
      <c r="AO106">
        <v>6</v>
      </c>
      <c r="AP106" s="1" t="s">
        <v>73</v>
      </c>
      <c r="AR106" s="1" t="s">
        <v>72</v>
      </c>
      <c r="AS106">
        <v>6</v>
      </c>
      <c r="AT106" t="s">
        <v>73</v>
      </c>
      <c r="AW106" s="1">
        <v>40</v>
      </c>
      <c r="AX106" s="1">
        <v>2</v>
      </c>
      <c r="AY106" s="1" t="s">
        <v>72</v>
      </c>
      <c r="AZ106" s="1" t="s">
        <v>73</v>
      </c>
      <c r="BA106" s="126" t="s">
        <v>73</v>
      </c>
      <c r="BB106" s="1">
        <v>1858</v>
      </c>
      <c r="BC106" s="100">
        <v>45643.915798611109</v>
      </c>
      <c r="BD106" s="85">
        <v>45643.874131944445</v>
      </c>
      <c r="BE106" s="1" t="s">
        <v>213</v>
      </c>
      <c r="BF106" s="1" t="s">
        <v>78</v>
      </c>
      <c r="BG106" s="1" t="s">
        <v>215</v>
      </c>
      <c r="BH106" s="1" t="s">
        <v>216</v>
      </c>
      <c r="BI106" s="1" t="s">
        <v>217</v>
      </c>
      <c r="BJ106" s="1" t="s">
        <v>218</v>
      </c>
      <c r="BK106" s="1">
        <v>10</v>
      </c>
      <c r="BL106" s="1" t="s">
        <v>73</v>
      </c>
      <c r="BM106" s="1" t="s">
        <v>73</v>
      </c>
      <c r="BN106" s="1" t="s">
        <v>73</v>
      </c>
      <c r="BO106" s="1" t="s">
        <v>73</v>
      </c>
      <c r="BP106" s="1" t="s">
        <v>73</v>
      </c>
      <c r="BQ106" s="1" t="s">
        <v>73</v>
      </c>
      <c r="BR106" s="1"/>
      <c r="BS106" s="1" t="s">
        <v>73</v>
      </c>
      <c r="BT106" s="1" t="s">
        <v>73</v>
      </c>
      <c r="BU106" s="1" t="s">
        <v>73</v>
      </c>
      <c r="BV106" s="1" t="s">
        <v>73</v>
      </c>
      <c r="BW106" s="1"/>
      <c r="CB106"/>
      <c r="CC106"/>
    </row>
    <row r="107" spans="1:81" ht="16" x14ac:dyDescent="0.2">
      <c r="A107" t="s">
        <v>138</v>
      </c>
      <c r="B107" t="s">
        <v>186</v>
      </c>
      <c r="C107" t="s">
        <v>187</v>
      </c>
      <c r="D107" s="1" t="s">
        <v>73</v>
      </c>
      <c r="E107" s="1" t="s">
        <v>72</v>
      </c>
      <c r="F107" s="1" t="s">
        <v>73</v>
      </c>
      <c r="G107" s="1" t="s">
        <v>72</v>
      </c>
      <c r="H107" s="1" t="s">
        <v>74</v>
      </c>
      <c r="I107" s="1">
        <v>6</v>
      </c>
      <c r="N107" s="1"/>
      <c r="O107" s="1"/>
      <c r="P107" s="1"/>
      <c r="Q107" s="1" t="s">
        <v>73</v>
      </c>
      <c r="R107" s="1" t="s">
        <v>73</v>
      </c>
      <c r="S107" s="1" t="s">
        <v>73</v>
      </c>
      <c r="T107" s="79">
        <v>1</v>
      </c>
      <c r="U107" s="79"/>
      <c r="V107" s="1"/>
      <c r="W107" s="1">
        <v>1</v>
      </c>
      <c r="X107" s="1"/>
      <c r="Y107" s="1"/>
      <c r="Z107" s="1" t="s">
        <v>73</v>
      </c>
      <c r="AA107" s="1" t="s">
        <v>73</v>
      </c>
      <c r="AB107">
        <v>4</v>
      </c>
      <c r="AC107" s="1">
        <v>5</v>
      </c>
      <c r="AE107" s="1"/>
      <c r="AF107" s="1"/>
      <c r="AG107">
        <v>5</v>
      </c>
      <c r="AK107" s="1" t="s">
        <v>73</v>
      </c>
      <c r="AL107" s="1" t="s">
        <v>73</v>
      </c>
      <c r="AN107" s="1" t="s">
        <v>73</v>
      </c>
      <c r="AP107" s="1" t="s">
        <v>73</v>
      </c>
      <c r="AR107" s="1" t="s">
        <v>73</v>
      </c>
      <c r="AT107" t="s">
        <v>73</v>
      </c>
      <c r="AW107" s="1">
        <v>90</v>
      </c>
      <c r="AX107" s="1">
        <v>20</v>
      </c>
      <c r="AY107" s="1" t="s">
        <v>72</v>
      </c>
      <c r="AZ107" s="1" t="s">
        <v>73</v>
      </c>
      <c r="BA107" s="126" t="s">
        <v>73</v>
      </c>
      <c r="BB107" s="1">
        <v>1849</v>
      </c>
      <c r="BC107" s="100">
        <v>45642.826678240737</v>
      </c>
      <c r="BD107" s="85">
        <v>45642.785011574073</v>
      </c>
      <c r="BE107" s="1" t="s">
        <v>73</v>
      </c>
      <c r="BF107" s="1" t="s">
        <v>73</v>
      </c>
      <c r="BG107" s="1" t="s">
        <v>73</v>
      </c>
      <c r="BH107" s="1" t="s">
        <v>73</v>
      </c>
      <c r="BI107" s="1" t="s">
        <v>73</v>
      </c>
      <c r="BJ107" s="1" t="s">
        <v>73</v>
      </c>
      <c r="BK107" s="1"/>
      <c r="BL107" s="1" t="s">
        <v>73</v>
      </c>
      <c r="BM107" s="1" t="s">
        <v>73</v>
      </c>
      <c r="BN107" s="1" t="s">
        <v>73</v>
      </c>
      <c r="BO107" s="1" t="s">
        <v>73</v>
      </c>
      <c r="BP107" s="1" t="s">
        <v>73</v>
      </c>
      <c r="BQ107" s="1" t="s">
        <v>73</v>
      </c>
      <c r="BR107" s="1"/>
      <c r="BS107" s="1" t="s">
        <v>75</v>
      </c>
      <c r="BT107" s="1" t="s">
        <v>188</v>
      </c>
      <c r="BU107" s="1" t="s">
        <v>189</v>
      </c>
      <c r="BV107" s="1" t="s">
        <v>190</v>
      </c>
      <c r="BW107" s="1">
        <v>8</v>
      </c>
      <c r="CB107"/>
      <c r="CC107"/>
    </row>
    <row r="108" spans="1:81" ht="16" x14ac:dyDescent="0.2">
      <c r="A108" t="s">
        <v>138</v>
      </c>
      <c r="B108" t="s">
        <v>210</v>
      </c>
      <c r="C108" t="s">
        <v>211</v>
      </c>
      <c r="D108" s="1" t="s">
        <v>73</v>
      </c>
      <c r="E108" s="1" t="s">
        <v>72</v>
      </c>
      <c r="F108" s="1" t="s">
        <v>72</v>
      </c>
      <c r="G108" s="1" t="s">
        <v>73</v>
      </c>
      <c r="H108" s="1"/>
      <c r="I108" s="1">
        <v>5</v>
      </c>
      <c r="J108">
        <v>3</v>
      </c>
      <c r="N108" s="1">
        <v>4</v>
      </c>
      <c r="O108" s="1"/>
      <c r="P108" s="1"/>
      <c r="Q108" s="1" t="s">
        <v>73</v>
      </c>
      <c r="R108" s="1" t="s">
        <v>73</v>
      </c>
      <c r="S108" s="1" t="s">
        <v>73</v>
      </c>
      <c r="T108" s="79">
        <v>3</v>
      </c>
      <c r="U108" s="79">
        <v>1</v>
      </c>
      <c r="V108" s="1"/>
      <c r="W108" s="1">
        <v>3</v>
      </c>
      <c r="X108" s="1">
        <v>1</v>
      </c>
      <c r="Y108" s="1"/>
      <c r="Z108" s="1" t="s">
        <v>72</v>
      </c>
      <c r="AA108" s="1" t="s">
        <v>73</v>
      </c>
      <c r="AC108" s="1"/>
      <c r="AE108" s="1"/>
      <c r="AF108" s="1"/>
      <c r="AK108" s="1" t="s">
        <v>72</v>
      </c>
      <c r="AL108" s="1" t="s">
        <v>73</v>
      </c>
      <c r="AN108" s="1" t="s">
        <v>73</v>
      </c>
      <c r="AP108" s="1" t="s">
        <v>73</v>
      </c>
      <c r="AR108" s="1" t="s">
        <v>73</v>
      </c>
      <c r="AT108" t="s">
        <v>73</v>
      </c>
      <c r="AW108" s="1">
        <v>32</v>
      </c>
      <c r="AX108" s="1">
        <v>7</v>
      </c>
      <c r="AY108" s="1" t="s">
        <v>73</v>
      </c>
      <c r="AZ108" s="1" t="s">
        <v>73</v>
      </c>
      <c r="BA108" s="126" t="s">
        <v>73</v>
      </c>
      <c r="BB108" s="1">
        <v>1848</v>
      </c>
      <c r="BC108" s="100">
        <v>45642.813136574077</v>
      </c>
      <c r="BD108" s="85">
        <v>45642.771469907406</v>
      </c>
      <c r="BE108" s="1" t="s">
        <v>211</v>
      </c>
      <c r="BF108" s="1" t="s">
        <v>219</v>
      </c>
      <c r="BG108" s="1" t="s">
        <v>215</v>
      </c>
      <c r="BH108" s="1" t="s">
        <v>216</v>
      </c>
      <c r="BI108" s="1" t="s">
        <v>220</v>
      </c>
      <c r="BJ108" s="1" t="s">
        <v>221</v>
      </c>
      <c r="BK108" s="1">
        <v>20</v>
      </c>
      <c r="BL108" s="1" t="s">
        <v>73</v>
      </c>
      <c r="BM108" s="1" t="s">
        <v>73</v>
      </c>
      <c r="BN108" s="1" t="s">
        <v>73</v>
      </c>
      <c r="BO108" s="1" t="s">
        <v>73</v>
      </c>
      <c r="BP108" s="1" t="s">
        <v>73</v>
      </c>
      <c r="BQ108" s="1" t="s">
        <v>73</v>
      </c>
      <c r="BR108" s="1"/>
      <c r="BS108" s="1" t="s">
        <v>73</v>
      </c>
      <c r="BT108" s="1" t="s">
        <v>73</v>
      </c>
      <c r="BU108" s="1" t="s">
        <v>73</v>
      </c>
      <c r="BV108" s="1" t="s">
        <v>73</v>
      </c>
      <c r="BW108" s="1"/>
      <c r="BZ108" s="1"/>
      <c r="CA108" s="1"/>
      <c r="CB108"/>
      <c r="CC108"/>
    </row>
    <row r="109" spans="1:81" ht="16" x14ac:dyDescent="0.2">
      <c r="A109" t="s">
        <v>138</v>
      </c>
      <c r="B109" t="s">
        <v>203</v>
      </c>
      <c r="C109" t="s">
        <v>204</v>
      </c>
      <c r="D109" s="1" t="s">
        <v>73</v>
      </c>
      <c r="E109" s="1" t="s">
        <v>73</v>
      </c>
      <c r="F109" s="1" t="s">
        <v>73</v>
      </c>
      <c r="G109" s="1" t="s">
        <v>73</v>
      </c>
      <c r="H109" s="1"/>
      <c r="I109" s="1"/>
      <c r="N109" s="1"/>
      <c r="O109" s="1"/>
      <c r="P109" s="1"/>
      <c r="Q109" s="1" t="s">
        <v>73</v>
      </c>
      <c r="R109" s="1" t="s">
        <v>73</v>
      </c>
      <c r="S109" s="1" t="s">
        <v>73</v>
      </c>
      <c r="T109" s="79"/>
      <c r="U109" s="79"/>
      <c r="V109" s="1"/>
      <c r="W109" s="1"/>
      <c r="X109" s="1"/>
      <c r="Y109" s="1"/>
      <c r="Z109" s="1" t="s">
        <v>73</v>
      </c>
      <c r="AA109" s="1" t="s">
        <v>73</v>
      </c>
      <c r="AC109" s="1"/>
      <c r="AE109" s="1"/>
      <c r="AF109" s="1"/>
      <c r="AK109" s="1" t="s">
        <v>73</v>
      </c>
      <c r="AL109" s="1" t="s">
        <v>72</v>
      </c>
      <c r="AM109">
        <v>4</v>
      </c>
      <c r="AN109" s="1" t="s">
        <v>72</v>
      </c>
      <c r="AO109">
        <v>4</v>
      </c>
      <c r="AP109" s="1" t="s">
        <v>73</v>
      </c>
      <c r="AR109" s="1" t="s">
        <v>72</v>
      </c>
      <c r="AS109">
        <v>4</v>
      </c>
      <c r="AT109" t="s">
        <v>73</v>
      </c>
      <c r="AW109" s="1">
        <v>30</v>
      </c>
      <c r="AX109" s="1">
        <v>2</v>
      </c>
      <c r="AY109" s="1" t="s">
        <v>72</v>
      </c>
      <c r="AZ109" s="1" t="s">
        <v>73</v>
      </c>
      <c r="BA109" s="126" t="s">
        <v>73</v>
      </c>
      <c r="BB109" s="1">
        <v>1844</v>
      </c>
      <c r="BC109" s="100">
        <v>45642.667673611111</v>
      </c>
      <c r="BD109" s="85">
        <v>45642.626006944447</v>
      </c>
      <c r="BE109" s="1" t="s">
        <v>73</v>
      </c>
      <c r="BF109" s="1" t="s">
        <v>73</v>
      </c>
      <c r="BG109" s="1" t="s">
        <v>73</v>
      </c>
      <c r="BH109" s="1" t="s">
        <v>73</v>
      </c>
      <c r="BI109" s="1" t="s">
        <v>73</v>
      </c>
      <c r="BJ109" s="1" t="s">
        <v>73</v>
      </c>
      <c r="BK109" s="1"/>
      <c r="BL109" s="1" t="s">
        <v>73</v>
      </c>
      <c r="BM109" s="1" t="s">
        <v>73</v>
      </c>
      <c r="BN109" s="1" t="s">
        <v>73</v>
      </c>
      <c r="BO109" s="1" t="s">
        <v>73</v>
      </c>
      <c r="BP109" s="1" t="s">
        <v>73</v>
      </c>
      <c r="BQ109" s="1" t="s">
        <v>73</v>
      </c>
      <c r="BR109" s="1"/>
      <c r="BS109" s="1" t="s">
        <v>73</v>
      </c>
      <c r="BT109" s="1" t="s">
        <v>73</v>
      </c>
      <c r="BU109" s="1" t="s">
        <v>73</v>
      </c>
      <c r="BV109" s="1" t="s">
        <v>73</v>
      </c>
      <c r="BW109" s="1"/>
      <c r="BZ109" s="1"/>
      <c r="CA109" s="1"/>
      <c r="CB109"/>
      <c r="CC109"/>
    </row>
    <row r="110" spans="1:81" ht="16" x14ac:dyDescent="0.2">
      <c r="A110" t="s">
        <v>138</v>
      </c>
      <c r="B110" t="s">
        <v>153</v>
      </c>
      <c r="C110" t="s">
        <v>154</v>
      </c>
      <c r="D110" s="1" t="s">
        <v>73</v>
      </c>
      <c r="E110" s="1" t="s">
        <v>72</v>
      </c>
      <c r="F110" s="1" t="s">
        <v>73</v>
      </c>
      <c r="G110" s="1" t="s">
        <v>73</v>
      </c>
      <c r="H110" s="1"/>
      <c r="I110" s="1"/>
      <c r="N110" s="1"/>
      <c r="O110" s="1"/>
      <c r="P110" s="1"/>
      <c r="Q110" s="1" t="s">
        <v>73</v>
      </c>
      <c r="R110" s="1" t="s">
        <v>73</v>
      </c>
      <c r="S110" s="1" t="s">
        <v>73</v>
      </c>
      <c r="T110" s="79"/>
      <c r="U110" s="79"/>
      <c r="V110" s="1"/>
      <c r="W110" s="1"/>
      <c r="X110" s="1"/>
      <c r="Y110" s="1"/>
      <c r="Z110" s="1" t="s">
        <v>73</v>
      </c>
      <c r="AA110" s="1" t="s">
        <v>73</v>
      </c>
      <c r="AC110" s="1">
        <v>5</v>
      </c>
      <c r="AE110" s="1"/>
      <c r="AF110" s="1"/>
      <c r="AG110">
        <v>4</v>
      </c>
      <c r="AK110" s="1" t="s">
        <v>73</v>
      </c>
      <c r="AL110" s="1" t="s">
        <v>73</v>
      </c>
      <c r="AN110" s="1" t="s">
        <v>73</v>
      </c>
      <c r="AP110" s="1" t="s">
        <v>73</v>
      </c>
      <c r="AR110" s="1" t="s">
        <v>73</v>
      </c>
      <c r="AT110" t="s">
        <v>73</v>
      </c>
      <c r="AW110" s="1">
        <v>35</v>
      </c>
      <c r="AX110" s="1">
        <v>10</v>
      </c>
      <c r="AY110" s="1" t="s">
        <v>72</v>
      </c>
      <c r="AZ110" s="1" t="s">
        <v>73</v>
      </c>
      <c r="BA110" s="126" t="s">
        <v>73</v>
      </c>
      <c r="BB110" s="1">
        <v>1838</v>
      </c>
      <c r="BC110" s="100">
        <v>45641.533518518518</v>
      </c>
      <c r="BD110" s="85">
        <v>45641.491851851853</v>
      </c>
      <c r="BE110" s="1" t="s">
        <v>73</v>
      </c>
      <c r="BF110" s="1" t="s">
        <v>73</v>
      </c>
      <c r="BG110" s="1" t="s">
        <v>73</v>
      </c>
      <c r="BH110" s="1" t="s">
        <v>73</v>
      </c>
      <c r="BI110" s="1" t="s">
        <v>73</v>
      </c>
      <c r="BJ110" s="1" t="s">
        <v>73</v>
      </c>
      <c r="BK110" s="1"/>
      <c r="BL110" s="1" t="s">
        <v>73</v>
      </c>
      <c r="BM110" s="1" t="s">
        <v>73</v>
      </c>
      <c r="BN110" s="1" t="s">
        <v>73</v>
      </c>
      <c r="BO110" s="1" t="s">
        <v>73</v>
      </c>
      <c r="BP110" s="1" t="s">
        <v>73</v>
      </c>
      <c r="BQ110" s="1" t="s">
        <v>73</v>
      </c>
      <c r="BR110" s="1"/>
      <c r="BS110" s="1" t="s">
        <v>73</v>
      </c>
      <c r="BT110" s="1" t="s">
        <v>73</v>
      </c>
      <c r="BU110" s="1" t="s">
        <v>73</v>
      </c>
      <c r="BV110" s="1" t="s">
        <v>73</v>
      </c>
      <c r="BW110" s="1"/>
      <c r="BZ110" s="1"/>
      <c r="CA110" s="1"/>
      <c r="CB110"/>
      <c r="CC110"/>
    </row>
    <row r="111" spans="1:81" ht="16" x14ac:dyDescent="0.2">
      <c r="A111" t="s">
        <v>138</v>
      </c>
      <c r="B111" t="s">
        <v>172</v>
      </c>
      <c r="C111" t="s">
        <v>168</v>
      </c>
      <c r="D111" s="1" t="s">
        <v>73</v>
      </c>
      <c r="E111" s="1" t="s">
        <v>72</v>
      </c>
      <c r="F111" s="1" t="s">
        <v>72</v>
      </c>
      <c r="G111" s="1" t="s">
        <v>73</v>
      </c>
      <c r="H111" s="1" t="s">
        <v>72</v>
      </c>
      <c r="I111" s="1">
        <v>10</v>
      </c>
      <c r="J111">
        <v>3</v>
      </c>
      <c r="L111">
        <v>6</v>
      </c>
      <c r="N111" s="1"/>
      <c r="O111" s="1"/>
      <c r="P111" s="1"/>
      <c r="Q111" s="1" t="s">
        <v>73</v>
      </c>
      <c r="R111" s="1" t="s">
        <v>73</v>
      </c>
      <c r="S111" s="1" t="s">
        <v>73</v>
      </c>
      <c r="T111" s="79"/>
      <c r="U111" s="79"/>
      <c r="V111" s="1"/>
      <c r="W111" s="1"/>
      <c r="X111" s="1"/>
      <c r="Y111" s="1"/>
      <c r="Z111" s="1" t="s">
        <v>73</v>
      </c>
      <c r="AA111" s="1" t="s">
        <v>73</v>
      </c>
      <c r="AB111">
        <v>1</v>
      </c>
      <c r="AC111" s="1">
        <v>11</v>
      </c>
      <c r="AE111" s="1"/>
      <c r="AF111" s="1">
        <v>4</v>
      </c>
      <c r="AG111">
        <v>11</v>
      </c>
      <c r="AJ111">
        <v>4</v>
      </c>
      <c r="AK111" s="1" t="s">
        <v>73</v>
      </c>
      <c r="AL111" s="1" t="s">
        <v>73</v>
      </c>
      <c r="AN111" s="1" t="s">
        <v>73</v>
      </c>
      <c r="AP111" s="1" t="s">
        <v>73</v>
      </c>
      <c r="AR111" s="1" t="s">
        <v>73</v>
      </c>
      <c r="AT111" t="s">
        <v>73</v>
      </c>
      <c r="AW111" s="1">
        <v>105</v>
      </c>
      <c r="AX111" s="1">
        <v>26</v>
      </c>
      <c r="AY111" s="1" t="s">
        <v>73</v>
      </c>
      <c r="AZ111" s="1" t="s">
        <v>73</v>
      </c>
      <c r="BA111" s="126" t="s">
        <v>73</v>
      </c>
      <c r="BB111" s="1">
        <v>1834</v>
      </c>
      <c r="BC111" s="100">
        <v>45639.400671296295</v>
      </c>
      <c r="BD111" s="85">
        <v>45639.35900462963</v>
      </c>
      <c r="BE111" s="1" t="s">
        <v>73</v>
      </c>
      <c r="BF111" s="1" t="s">
        <v>73</v>
      </c>
      <c r="BG111" s="1" t="s">
        <v>73</v>
      </c>
      <c r="BH111" s="1" t="s">
        <v>73</v>
      </c>
      <c r="BI111" s="1" t="s">
        <v>73</v>
      </c>
      <c r="BJ111" s="1" t="s">
        <v>73</v>
      </c>
      <c r="BK111" s="1"/>
      <c r="BL111" s="1" t="s">
        <v>73</v>
      </c>
      <c r="BM111" s="1" t="s">
        <v>73</v>
      </c>
      <c r="BN111" s="1" t="s">
        <v>73</v>
      </c>
      <c r="BO111" s="1" t="s">
        <v>73</v>
      </c>
      <c r="BP111" s="1" t="s">
        <v>73</v>
      </c>
      <c r="BQ111" s="1" t="s">
        <v>73</v>
      </c>
      <c r="BR111" s="1"/>
      <c r="BS111" s="1" t="s">
        <v>169</v>
      </c>
      <c r="BT111" s="1" t="s">
        <v>196</v>
      </c>
      <c r="BU111" s="1" t="s">
        <v>197</v>
      </c>
      <c r="BV111" s="1" t="s">
        <v>198</v>
      </c>
      <c r="BW111" s="1">
        <v>16</v>
      </c>
    </row>
    <row r="112" spans="1:81" ht="128" x14ac:dyDescent="0.2">
      <c r="A112" t="s">
        <v>138</v>
      </c>
      <c r="B112" t="s">
        <v>179</v>
      </c>
      <c r="C112" t="s">
        <v>166</v>
      </c>
      <c r="D112" s="1" t="s">
        <v>73</v>
      </c>
      <c r="E112" s="1" t="s">
        <v>72</v>
      </c>
      <c r="F112" s="1" t="s">
        <v>72</v>
      </c>
      <c r="G112" s="1" t="s">
        <v>73</v>
      </c>
      <c r="H112" s="1"/>
      <c r="I112" s="1"/>
      <c r="L112">
        <v>6</v>
      </c>
      <c r="N112" s="1"/>
      <c r="O112" s="1"/>
      <c r="P112" s="1"/>
      <c r="Q112" s="1" t="s">
        <v>73</v>
      </c>
      <c r="R112" s="1" t="s">
        <v>73</v>
      </c>
      <c r="S112" s="1" t="s">
        <v>73</v>
      </c>
      <c r="T112" s="79"/>
      <c r="U112" s="79">
        <v>1</v>
      </c>
      <c r="V112" s="1">
        <v>5</v>
      </c>
      <c r="W112" s="1"/>
      <c r="X112" s="1">
        <v>1</v>
      </c>
      <c r="Y112" s="1">
        <v>5</v>
      </c>
      <c r="Z112" s="1" t="s">
        <v>72</v>
      </c>
      <c r="AA112" s="1" t="s">
        <v>73</v>
      </c>
      <c r="AC112" s="1"/>
      <c r="AE112" s="1"/>
      <c r="AF112" s="1"/>
      <c r="AK112" s="1" t="s">
        <v>73</v>
      </c>
      <c r="AL112" s="1" t="s">
        <v>73</v>
      </c>
      <c r="AN112" s="1" t="s">
        <v>73</v>
      </c>
      <c r="AP112" s="1" t="s">
        <v>73</v>
      </c>
      <c r="AR112" s="1" t="s">
        <v>73</v>
      </c>
      <c r="AT112" t="s">
        <v>72</v>
      </c>
      <c r="AU112">
        <v>3</v>
      </c>
      <c r="AW112" s="1">
        <v>42</v>
      </c>
      <c r="AX112" s="1">
        <v>42</v>
      </c>
      <c r="AY112" s="1" t="s">
        <v>73</v>
      </c>
      <c r="AZ112" s="1" t="s">
        <v>73</v>
      </c>
      <c r="BA112" s="126" t="s">
        <v>160</v>
      </c>
      <c r="BB112" s="1">
        <v>1830</v>
      </c>
      <c r="BC112" s="100">
        <v>45639.325312499997</v>
      </c>
      <c r="BD112" s="85">
        <v>45639.283645833333</v>
      </c>
      <c r="BE112" s="1" t="s">
        <v>166</v>
      </c>
      <c r="BF112" s="1" t="s">
        <v>78</v>
      </c>
      <c r="BG112" s="1" t="s">
        <v>161</v>
      </c>
      <c r="BH112" s="1" t="s">
        <v>162</v>
      </c>
      <c r="BI112" s="1" t="s">
        <v>171</v>
      </c>
      <c r="BJ112" s="1" t="s">
        <v>171</v>
      </c>
      <c r="BK112" s="1">
        <v>23</v>
      </c>
      <c r="BL112" s="1" t="s">
        <v>73</v>
      </c>
      <c r="BM112" s="1" t="s">
        <v>73</v>
      </c>
      <c r="BN112" s="1" t="s">
        <v>73</v>
      </c>
      <c r="BO112" s="1" t="s">
        <v>73</v>
      </c>
      <c r="BP112" s="1" t="s">
        <v>73</v>
      </c>
      <c r="BQ112" s="1" t="s">
        <v>73</v>
      </c>
      <c r="BR112" s="1"/>
      <c r="BS112" s="1" t="s">
        <v>73</v>
      </c>
      <c r="BT112" s="1" t="s">
        <v>73</v>
      </c>
      <c r="BU112" s="1" t="s">
        <v>73</v>
      </c>
      <c r="BV112" s="1" t="s">
        <v>73</v>
      </c>
      <c r="BW112" s="1"/>
    </row>
    <row r="113" spans="1:75" ht="128" x14ac:dyDescent="0.2">
      <c r="A113" t="s">
        <v>138</v>
      </c>
      <c r="B113" t="s">
        <v>181</v>
      </c>
      <c r="C113" t="s">
        <v>159</v>
      </c>
      <c r="D113" s="1" t="s">
        <v>73</v>
      </c>
      <c r="E113" s="1" t="s">
        <v>72</v>
      </c>
      <c r="F113" s="1" t="s">
        <v>73</v>
      </c>
      <c r="G113" s="1" t="s">
        <v>73</v>
      </c>
      <c r="H113" s="1"/>
      <c r="I113" s="1">
        <v>7</v>
      </c>
      <c r="N113" s="1"/>
      <c r="O113" s="1"/>
      <c r="P113" s="1"/>
      <c r="Q113" s="1" t="s">
        <v>73</v>
      </c>
      <c r="R113" s="1" t="s">
        <v>73</v>
      </c>
      <c r="S113" s="1" t="s">
        <v>73</v>
      </c>
      <c r="T113" s="79">
        <v>1</v>
      </c>
      <c r="U113" s="79"/>
      <c r="V113" s="1"/>
      <c r="W113" s="1">
        <v>1</v>
      </c>
      <c r="X113" s="1"/>
      <c r="Y113" s="1"/>
      <c r="Z113" s="1" t="s">
        <v>72</v>
      </c>
      <c r="AA113" s="1" t="s">
        <v>73</v>
      </c>
      <c r="AC113" s="1"/>
      <c r="AE113" s="1"/>
      <c r="AF113" s="1"/>
      <c r="AK113" s="1" t="s">
        <v>73</v>
      </c>
      <c r="AL113" s="1" t="s">
        <v>72</v>
      </c>
      <c r="AM113">
        <v>6</v>
      </c>
      <c r="AN113" s="1" t="s">
        <v>72</v>
      </c>
      <c r="AO113">
        <v>6</v>
      </c>
      <c r="AP113" s="1" t="s">
        <v>73</v>
      </c>
      <c r="AR113" s="1" t="s">
        <v>72</v>
      </c>
      <c r="AS113">
        <v>6</v>
      </c>
      <c r="AT113" t="s">
        <v>73</v>
      </c>
      <c r="AW113" s="1">
        <v>90</v>
      </c>
      <c r="AX113" s="1">
        <v>0</v>
      </c>
      <c r="AY113" s="1" t="s">
        <v>73</v>
      </c>
      <c r="AZ113" s="1" t="s">
        <v>73</v>
      </c>
      <c r="BA113" s="126" t="s">
        <v>160</v>
      </c>
      <c r="BB113" s="1">
        <v>1826</v>
      </c>
      <c r="BC113" s="100">
        <v>45637.588495370372</v>
      </c>
      <c r="BD113" s="85">
        <v>45637.5468287037</v>
      </c>
      <c r="BE113" s="1" t="s">
        <v>159</v>
      </c>
      <c r="BF113" s="1" t="s">
        <v>78</v>
      </c>
      <c r="BG113" s="1" t="s">
        <v>161</v>
      </c>
      <c r="BH113" s="1" t="s">
        <v>162</v>
      </c>
      <c r="BI113" s="1" t="s">
        <v>163</v>
      </c>
      <c r="BJ113" s="1" t="s">
        <v>163</v>
      </c>
      <c r="BK113" s="1">
        <v>62</v>
      </c>
      <c r="BL113" s="1" t="s">
        <v>73</v>
      </c>
      <c r="BM113" s="1" t="s">
        <v>73</v>
      </c>
      <c r="BN113" s="1" t="s">
        <v>73</v>
      </c>
      <c r="BO113" s="1" t="s">
        <v>73</v>
      </c>
      <c r="BP113" s="1" t="s">
        <v>73</v>
      </c>
      <c r="BQ113" s="1" t="s">
        <v>73</v>
      </c>
      <c r="BR113" s="1"/>
      <c r="BS113" s="1" t="s">
        <v>73</v>
      </c>
      <c r="BT113" s="1" t="s">
        <v>73</v>
      </c>
      <c r="BU113" s="1" t="s">
        <v>73</v>
      </c>
      <c r="BV113" s="1" t="s">
        <v>73</v>
      </c>
      <c r="BW113" s="1"/>
    </row>
    <row r="114" spans="1:75" ht="96" x14ac:dyDescent="0.2">
      <c r="A114" t="s">
        <v>138</v>
      </c>
      <c r="B114" t="s">
        <v>175</v>
      </c>
      <c r="C114" t="s">
        <v>164</v>
      </c>
      <c r="D114" s="1" t="s">
        <v>73</v>
      </c>
      <c r="E114" s="1" t="s">
        <v>72</v>
      </c>
      <c r="F114" s="1" t="s">
        <v>73</v>
      </c>
      <c r="G114" s="1" t="s">
        <v>73</v>
      </c>
      <c r="H114" s="1"/>
      <c r="I114" s="1">
        <v>8</v>
      </c>
      <c r="N114" s="1"/>
      <c r="O114" s="1"/>
      <c r="P114" s="1"/>
      <c r="Q114" s="1" t="s">
        <v>73</v>
      </c>
      <c r="R114" s="1" t="s">
        <v>73</v>
      </c>
      <c r="S114" s="1" t="s">
        <v>73</v>
      </c>
      <c r="T114" s="79"/>
      <c r="U114" s="79"/>
      <c r="V114" s="1"/>
      <c r="W114" s="1"/>
      <c r="X114" s="1"/>
      <c r="Y114" s="1"/>
      <c r="Z114" s="1" t="s">
        <v>73</v>
      </c>
      <c r="AA114" s="1" t="s">
        <v>73</v>
      </c>
      <c r="AC114" s="1"/>
      <c r="AE114" s="1"/>
      <c r="AF114" s="1"/>
      <c r="AK114" s="1" t="s">
        <v>73</v>
      </c>
      <c r="AL114" s="1" t="s">
        <v>73</v>
      </c>
      <c r="AN114" s="1" t="s">
        <v>73</v>
      </c>
      <c r="AP114" s="1" t="s">
        <v>73</v>
      </c>
      <c r="AR114" s="1" t="s">
        <v>73</v>
      </c>
      <c r="AT114" t="s">
        <v>73</v>
      </c>
      <c r="AW114" s="1">
        <v>10</v>
      </c>
      <c r="AX114" s="1">
        <v>0</v>
      </c>
      <c r="AY114" s="1" t="s">
        <v>73</v>
      </c>
      <c r="AZ114" s="1" t="s">
        <v>73</v>
      </c>
      <c r="BA114" s="126" t="s">
        <v>165</v>
      </c>
      <c r="BB114" s="1">
        <v>1822</v>
      </c>
      <c r="BC114" s="100">
        <v>45635.787199074075</v>
      </c>
      <c r="BD114" s="85">
        <v>45635.745532407411</v>
      </c>
      <c r="BE114" s="1" t="s">
        <v>73</v>
      </c>
      <c r="BF114" s="1" t="s">
        <v>73</v>
      </c>
      <c r="BG114" s="1" t="s">
        <v>73</v>
      </c>
      <c r="BH114" s="1" t="s">
        <v>73</v>
      </c>
      <c r="BI114" s="1" t="s">
        <v>73</v>
      </c>
      <c r="BJ114" s="1" t="s">
        <v>73</v>
      </c>
      <c r="BK114" s="1"/>
      <c r="BL114" s="1" t="s">
        <v>73</v>
      </c>
      <c r="BM114" s="1" t="s">
        <v>73</v>
      </c>
      <c r="BN114" s="1" t="s">
        <v>73</v>
      </c>
      <c r="BO114" s="1" t="s">
        <v>73</v>
      </c>
      <c r="BP114" s="1" t="s">
        <v>73</v>
      </c>
      <c r="BQ114" s="1" t="s">
        <v>73</v>
      </c>
      <c r="BR114" s="1"/>
      <c r="BS114" s="1" t="s">
        <v>73</v>
      </c>
      <c r="BT114" s="1" t="s">
        <v>73</v>
      </c>
      <c r="BU114" s="1" t="s">
        <v>73</v>
      </c>
      <c r="BV114" s="1" t="s">
        <v>73</v>
      </c>
      <c r="BW114" s="1"/>
    </row>
    <row r="115" spans="1:75" ht="16" x14ac:dyDescent="0.2">
      <c r="A115" t="s">
        <v>138</v>
      </c>
      <c r="B115" t="s">
        <v>182</v>
      </c>
      <c r="C115" t="s">
        <v>150</v>
      </c>
      <c r="D115" s="1" t="s">
        <v>73</v>
      </c>
      <c r="E115" s="1" t="s">
        <v>72</v>
      </c>
      <c r="F115" s="1" t="s">
        <v>72</v>
      </c>
      <c r="G115" s="1" t="s">
        <v>72</v>
      </c>
      <c r="H115" s="1"/>
      <c r="I115" s="1">
        <v>3</v>
      </c>
      <c r="N115" s="1"/>
      <c r="O115" s="1"/>
      <c r="P115" s="1"/>
      <c r="Q115" s="1" t="s">
        <v>73</v>
      </c>
      <c r="R115" s="1" t="s">
        <v>73</v>
      </c>
      <c r="S115" s="1" t="s">
        <v>73</v>
      </c>
      <c r="T115" s="79"/>
      <c r="U115" s="79"/>
      <c r="V115" s="1"/>
      <c r="W115" s="1"/>
      <c r="X115" s="1"/>
      <c r="Y115" s="1"/>
      <c r="Z115" s="1" t="s">
        <v>73</v>
      </c>
      <c r="AA115" s="1" t="s">
        <v>73</v>
      </c>
      <c r="AC115" s="1"/>
      <c r="AE115" s="1"/>
      <c r="AF115" s="1"/>
      <c r="AK115" s="1" t="s">
        <v>73</v>
      </c>
      <c r="AL115" s="1" t="s">
        <v>72</v>
      </c>
      <c r="AM115">
        <v>6</v>
      </c>
      <c r="AN115" s="1" t="s">
        <v>72</v>
      </c>
      <c r="AO115">
        <v>6</v>
      </c>
      <c r="AP115" s="1" t="s">
        <v>73</v>
      </c>
      <c r="AR115" s="1" t="s">
        <v>72</v>
      </c>
      <c r="AS115">
        <v>3</v>
      </c>
      <c r="AT115" t="s">
        <v>73</v>
      </c>
      <c r="AW115" s="1">
        <v>30</v>
      </c>
      <c r="AX115" s="1">
        <v>2</v>
      </c>
      <c r="AY115" s="1" t="s">
        <v>73</v>
      </c>
      <c r="AZ115" s="1" t="s">
        <v>73</v>
      </c>
      <c r="BA115" s="126" t="s">
        <v>73</v>
      </c>
      <c r="BB115" s="1">
        <v>1819</v>
      </c>
      <c r="BC115" s="100">
        <v>45634.99622685185</v>
      </c>
      <c r="BD115" s="85">
        <v>45656.68545138889</v>
      </c>
      <c r="BE115" s="1" t="s">
        <v>73</v>
      </c>
      <c r="BF115" s="1" t="s">
        <v>73</v>
      </c>
      <c r="BG115" s="1" t="s">
        <v>73</v>
      </c>
      <c r="BH115" s="1" t="s">
        <v>73</v>
      </c>
      <c r="BI115" s="1" t="s">
        <v>73</v>
      </c>
      <c r="BJ115" s="1" t="s">
        <v>73</v>
      </c>
      <c r="BK115" s="1"/>
      <c r="BL115" s="1" t="s">
        <v>73</v>
      </c>
      <c r="BM115" s="1" t="s">
        <v>73</v>
      </c>
      <c r="BN115" s="1" t="s">
        <v>73</v>
      </c>
      <c r="BO115" s="1" t="s">
        <v>73</v>
      </c>
      <c r="BP115" s="1" t="s">
        <v>73</v>
      </c>
      <c r="BQ115" s="1" t="s">
        <v>73</v>
      </c>
      <c r="BR115" s="1"/>
      <c r="BS115" s="1" t="s">
        <v>169</v>
      </c>
      <c r="BT115" s="1" t="s">
        <v>73</v>
      </c>
      <c r="BU115" s="1" t="s">
        <v>73</v>
      </c>
      <c r="BV115" s="1" t="s">
        <v>73</v>
      </c>
      <c r="BW115" s="1">
        <v>8</v>
      </c>
    </row>
    <row r="116" spans="1:75" ht="16" x14ac:dyDescent="0.2">
      <c r="A116" t="s">
        <v>138</v>
      </c>
      <c r="B116" t="s">
        <v>183</v>
      </c>
      <c r="C116" t="s">
        <v>137</v>
      </c>
      <c r="D116" s="1" t="s">
        <v>73</v>
      </c>
      <c r="E116" s="1" t="s">
        <v>72</v>
      </c>
      <c r="F116" s="1" t="s">
        <v>72</v>
      </c>
      <c r="G116" s="1" t="s">
        <v>73</v>
      </c>
      <c r="H116" s="1"/>
      <c r="I116" s="1"/>
      <c r="N116" s="1"/>
      <c r="O116" s="1"/>
      <c r="P116" s="1"/>
      <c r="Q116" s="1" t="s">
        <v>73</v>
      </c>
      <c r="R116" s="1" t="s">
        <v>73</v>
      </c>
      <c r="S116" s="1" t="s">
        <v>73</v>
      </c>
      <c r="T116" s="79"/>
      <c r="U116" s="79"/>
      <c r="V116" s="1"/>
      <c r="W116" s="1"/>
      <c r="X116" s="1"/>
      <c r="Y116" s="1"/>
      <c r="Z116" s="1" t="s">
        <v>73</v>
      </c>
      <c r="AA116" s="1" t="s">
        <v>73</v>
      </c>
      <c r="AC116" s="1"/>
      <c r="AE116" s="1"/>
      <c r="AF116" s="1"/>
      <c r="AK116" s="1" t="s">
        <v>73</v>
      </c>
      <c r="AL116" s="1" t="s">
        <v>72</v>
      </c>
      <c r="AM116">
        <v>6</v>
      </c>
      <c r="AN116" s="1" t="s">
        <v>72</v>
      </c>
      <c r="AO116">
        <v>4</v>
      </c>
      <c r="AP116" s="1" t="s">
        <v>73</v>
      </c>
      <c r="AR116" s="1" t="s">
        <v>72</v>
      </c>
      <c r="AS116">
        <v>5</v>
      </c>
      <c r="AT116" t="s">
        <v>73</v>
      </c>
      <c r="AW116" s="1">
        <v>16</v>
      </c>
      <c r="AX116" s="1">
        <v>1</v>
      </c>
      <c r="AY116" s="1" t="s">
        <v>73</v>
      </c>
      <c r="AZ116" s="1" t="s">
        <v>73</v>
      </c>
      <c r="BA116" s="126" t="s">
        <v>73</v>
      </c>
      <c r="BB116" s="1">
        <v>1813</v>
      </c>
      <c r="BC116" s="100">
        <v>45630.951053240744</v>
      </c>
      <c r="BD116" s="85">
        <v>45631.712673611109</v>
      </c>
      <c r="BE116" s="1" t="s">
        <v>73</v>
      </c>
      <c r="BF116" s="1" t="s">
        <v>73</v>
      </c>
      <c r="BG116" s="1" t="s">
        <v>73</v>
      </c>
      <c r="BH116" s="1" t="s">
        <v>73</v>
      </c>
      <c r="BI116" s="1" t="s">
        <v>73</v>
      </c>
      <c r="BJ116" s="1" t="s">
        <v>73</v>
      </c>
      <c r="BK116" s="1"/>
      <c r="BL116" s="1" t="s">
        <v>73</v>
      </c>
      <c r="BM116" s="1" t="s">
        <v>73</v>
      </c>
      <c r="BN116" s="1" t="s">
        <v>73</v>
      </c>
      <c r="BO116" s="1" t="s">
        <v>73</v>
      </c>
      <c r="BP116" s="1" t="s">
        <v>73</v>
      </c>
      <c r="BQ116" s="1" t="s">
        <v>73</v>
      </c>
      <c r="BR116" s="1"/>
      <c r="BS116" s="1" t="s">
        <v>73</v>
      </c>
      <c r="BT116" s="1" t="s">
        <v>73</v>
      </c>
      <c r="BU116" s="1" t="s">
        <v>73</v>
      </c>
      <c r="BV116" s="1" t="s">
        <v>73</v>
      </c>
      <c r="BW116" s="1"/>
    </row>
    <row r="117" spans="1:75" ht="16" x14ac:dyDescent="0.2">
      <c r="A117" t="s">
        <v>138</v>
      </c>
      <c r="B117" t="s">
        <v>178</v>
      </c>
      <c r="C117" t="s">
        <v>132</v>
      </c>
      <c r="D117" s="1" t="s">
        <v>73</v>
      </c>
      <c r="E117" s="1" t="s">
        <v>72</v>
      </c>
      <c r="F117" s="1" t="s">
        <v>72</v>
      </c>
      <c r="G117" s="1" t="s">
        <v>73</v>
      </c>
      <c r="H117" s="1"/>
      <c r="I117" s="1"/>
      <c r="N117" s="1"/>
      <c r="O117" s="1"/>
      <c r="P117" s="1"/>
      <c r="Q117" s="1" t="s">
        <v>73</v>
      </c>
      <c r="R117" s="1" t="s">
        <v>73</v>
      </c>
      <c r="S117" s="1" t="s">
        <v>73</v>
      </c>
      <c r="T117" s="79"/>
      <c r="U117" s="79"/>
      <c r="V117" s="1"/>
      <c r="W117" s="1"/>
      <c r="X117" s="1"/>
      <c r="Y117" s="1"/>
      <c r="Z117" s="1" t="s">
        <v>73</v>
      </c>
      <c r="AA117" s="1" t="s">
        <v>73</v>
      </c>
      <c r="AC117" s="1"/>
      <c r="AE117" s="1"/>
      <c r="AF117" s="1"/>
      <c r="AK117" s="1" t="s">
        <v>73</v>
      </c>
      <c r="AL117" s="1" t="s">
        <v>72</v>
      </c>
      <c r="AM117">
        <v>6</v>
      </c>
      <c r="AN117" s="1" t="s">
        <v>72</v>
      </c>
      <c r="AO117">
        <v>6</v>
      </c>
      <c r="AP117" s="1" t="s">
        <v>72</v>
      </c>
      <c r="AQ117">
        <v>6</v>
      </c>
      <c r="AR117" s="1" t="s">
        <v>72</v>
      </c>
      <c r="AS117">
        <v>6</v>
      </c>
      <c r="AT117" t="s">
        <v>72</v>
      </c>
      <c r="AU117">
        <v>1</v>
      </c>
      <c r="AV117">
        <v>1</v>
      </c>
      <c r="AW117" s="1">
        <v>25</v>
      </c>
      <c r="AX117" s="1">
        <v>3</v>
      </c>
      <c r="AY117" s="1" t="s">
        <v>73</v>
      </c>
      <c r="AZ117" s="1" t="s">
        <v>73</v>
      </c>
      <c r="BA117" s="126" t="s">
        <v>73</v>
      </c>
      <c r="BB117" s="1">
        <v>1808</v>
      </c>
      <c r="BC117" s="100">
        <v>45619.804212962961</v>
      </c>
      <c r="BD117" s="85">
        <v>45631.712268518517</v>
      </c>
      <c r="BE117" s="1" t="s">
        <v>73</v>
      </c>
      <c r="BF117" s="1" t="s">
        <v>73</v>
      </c>
      <c r="BG117" s="1" t="s">
        <v>73</v>
      </c>
      <c r="BH117" s="1" t="s">
        <v>73</v>
      </c>
      <c r="BI117" s="1" t="s">
        <v>73</v>
      </c>
      <c r="BJ117" s="1" t="s">
        <v>73</v>
      </c>
      <c r="BK117" s="1"/>
      <c r="BL117" s="1" t="s">
        <v>73</v>
      </c>
      <c r="BM117" s="1" t="s">
        <v>73</v>
      </c>
      <c r="BN117" s="1" t="s">
        <v>73</v>
      </c>
      <c r="BO117" s="1" t="s">
        <v>73</v>
      </c>
      <c r="BP117" s="1" t="s">
        <v>73</v>
      </c>
      <c r="BQ117" s="1" t="s">
        <v>73</v>
      </c>
      <c r="BR117" s="1"/>
      <c r="BS117" s="1" t="s">
        <v>73</v>
      </c>
      <c r="BT117" s="1" t="s">
        <v>73</v>
      </c>
      <c r="BU117" s="1" t="s">
        <v>73</v>
      </c>
      <c r="BV117" s="1" t="s">
        <v>73</v>
      </c>
      <c r="BW117" s="1"/>
    </row>
    <row r="118" spans="1:75" x14ac:dyDescent="0.2">
      <c r="A118" t="s">
        <v>79</v>
      </c>
      <c r="C118">
        <f>SUBTOTAL(103,Kringdagen[Naam vereniging])</f>
        <v>111</v>
      </c>
      <c r="D118">
        <f>COUNTIF(Kringdagen[Delegatie],"x")</f>
        <v>8</v>
      </c>
      <c r="E118" s="16">
        <f>COUNTIF(Kringdagen[Muziekkorps bij mars en defilé],"x")</f>
        <v>97</v>
      </c>
      <c r="F118" s="16">
        <f>COUNTIF(Kringdagen[Deeln. jeugdkoningschieten],"x")</f>
        <v>69</v>
      </c>
      <c r="G118" s="16">
        <f>COUNTIF(Kringdagen[Maj. Senioren jureren bij mars],"x")</f>
        <v>13</v>
      </c>
      <c r="H118" s="16">
        <f>COUNTIF(Kringdagen[Maj. Jeugd jureren bij mars],"x")</f>
        <v>6</v>
      </c>
      <c r="I118" s="16">
        <f>SUBTOTAL(103,Kringdagen[Korps senioren])</f>
        <v>80</v>
      </c>
      <c r="J118">
        <f>SUBTOTAL(103,Kringdagen[Junioren korps 1])</f>
        <v>35</v>
      </c>
      <c r="K118">
        <f>SUBTOTAL(103,Kringdagen[Junioren korps 2])</f>
        <v>0</v>
      </c>
      <c r="L118">
        <f>SUBTOTAL(103,Kringdagen[Aspiranten korps 1])</f>
        <v>28</v>
      </c>
      <c r="M118">
        <f>SUBTOTAL(103,Kringdagen[Aspiranten korps 2])</f>
        <v>5</v>
      </c>
      <c r="N118" s="16">
        <f>SUBTOTAL(103,Kringdagen[Acrobatisch senioren])</f>
        <v>12</v>
      </c>
      <c r="O118" s="16">
        <f>COUNTIF(Kringdagen[Acrobatisch junioren],"x")</f>
        <v>0</v>
      </c>
      <c r="P118" s="16">
        <f>COUNTIF(Kringdagen[Acrobatisch aspiranten],"x")</f>
        <v>0</v>
      </c>
      <c r="R118">
        <f>SUBTOTAL(103,Kringdagen[Show junioren])</f>
        <v>111</v>
      </c>
      <c r="S118">
        <f>SUBTOTAL(103,Kringdagen[Show aspiranten])</f>
        <v>111</v>
      </c>
      <c r="T118" s="79">
        <f>SUBTOTAL(109,Kringdagen[Senioren indiv.])</f>
        <v>42</v>
      </c>
      <c r="U118" s="79">
        <f>SUBTOTAL(109,Kringdagen[Junioren indiv.])</f>
        <v>20</v>
      </c>
      <c r="V118" s="1">
        <f>SUBTOTAL(109,Kringdagen[Aspiranten indiv.])</f>
        <v>16</v>
      </c>
      <c r="W118" s="1">
        <f>SUBTOTAL(109,Kringdagen[Sen. ind opgegeven namen])</f>
        <v>42</v>
      </c>
      <c r="X118" s="1">
        <f>SUBTOTAL(109,Kringdagen[Jun. ind opgegeven namen])</f>
        <v>20</v>
      </c>
      <c r="Y118" s="1">
        <f>SUBTOTAL(109,Kringdagen[Asp. ind opgegeven namen])</f>
        <v>17</v>
      </c>
      <c r="Z118" s="16">
        <f>COUNTIF(Kringdagen[Hoofdkorps],"x")</f>
        <v>16</v>
      </c>
      <c r="AA118" s="16">
        <f>COUNTIF(Kringdagen[2e korps],"x")</f>
        <v>0</v>
      </c>
      <c r="AB118">
        <f>SUBTOTAL(103,Kringdagen[Groepen, teams, ensembles en duo''s])</f>
        <v>18</v>
      </c>
      <c r="AC118">
        <f>SUBTOTAL(109,Kringdagen[Senioren])</f>
        <v>208</v>
      </c>
      <c r="AD118">
        <f>SUBTOTAL(109,Kringdagen[Jong volwassene])</f>
        <v>15</v>
      </c>
      <c r="AE118">
        <f>SUBTOTAL(109,Kringdagen[Junioren])</f>
        <v>14</v>
      </c>
      <c r="AF118">
        <f>SUBTOTAL(109,Kringdagen[Aspiranten])</f>
        <v>18</v>
      </c>
      <c r="AG118">
        <f>SUBTOTAL(109,Kringdagen[Opgegeven senioren])</f>
        <v>203</v>
      </c>
      <c r="AH118">
        <f>SUBTOTAL(109,Kringdagen[Opgegeven jong volwassene])</f>
        <v>12</v>
      </c>
      <c r="AI118">
        <f>SUBTOTAL(109,Kringdagen[Opgegeven junioren])</f>
        <v>14</v>
      </c>
      <c r="AJ118">
        <f>SUBTOTAL(109,Kringdagen[Opgegeven aspiranten])</f>
        <v>18</v>
      </c>
      <c r="AK118">
        <f>COUNTIF(Kringdagen[Acrobatisch aspiranten],"x")</f>
        <v>0</v>
      </c>
      <c r="AL118">
        <f>COUNTIF(Kringdagen[Luchtgeweer],"x")</f>
        <v>67</v>
      </c>
      <c r="AM118">
        <f>SUBTOTAL(109,Kringdagen[Aantal luchtgeweerschutters])</f>
        <v>368</v>
      </c>
      <c r="AN118">
        <f>COUNTIF(Kringdagen[Luchtpistool],"x")</f>
        <v>58</v>
      </c>
      <c r="AO118">
        <f>SUBTOTAL(109,Kringdagen[Aantal luchtpistoolschutters])</f>
        <v>309</v>
      </c>
      <c r="AP118">
        <f>COUNTIF(Kringdagen[Handboog],"x")</f>
        <v>5</v>
      </c>
      <c r="AQ118">
        <f>SUBTOTAL(109,Kringdagen[Aantal handboogschutters])</f>
        <v>30</v>
      </c>
      <c r="AR118">
        <f>COUNTIF(Kringdagen[Kruisboog],"x")</f>
        <v>53</v>
      </c>
      <c r="AS118">
        <f>SUBTOTAL(109,Kringdagen[Aantal kruisboogschutters])</f>
        <v>292</v>
      </c>
      <c r="AT118">
        <f>COUNTIF(Kringdagen[[#Headers],[#Data],[Luchtgeweer jeugd niet ouder dan 17 jaar.]],"x")</f>
        <v>27</v>
      </c>
      <c r="AU118">
        <f>SUBTOTAL(109,Kringdagen[Aantal korpsen])</f>
        <v>48</v>
      </c>
      <c r="AV118">
        <f>SUBTOTAL(109,Kringdagen[Opgegeven jeugdkorpsen LG])</f>
        <v>27</v>
      </c>
      <c r="AW118">
        <f>SUBTOTAL(109,Kringdagen[Totaal aantal deelnemers])</f>
        <v>5675</v>
      </c>
      <c r="AX118">
        <f>SUBTOTAL(109,Kringdagen[Waarvan aantal jeugd (t/m 15 jaar)])</f>
        <v>1001</v>
      </c>
      <c r="AY118">
        <f>COUNTIF(Kringdagen[Kanon etc.],"x")</f>
        <v>30</v>
      </c>
      <c r="AZ118">
        <f>COUNTIF(Kringdagen[Paarden en/of koetsen],"x")</f>
        <v>10</v>
      </c>
      <c r="BQ118" s="1"/>
      <c r="BR118" s="1"/>
      <c r="BS118" s="1"/>
      <c r="BT118" s="1"/>
      <c r="BU118" s="1"/>
      <c r="BV118" s="1"/>
      <c r="BW118" s="1">
        <f>SUBTOTAL(109,Kringdagen[Aantal opgegeven majorettes])</f>
        <v>268</v>
      </c>
    </row>
  </sheetData>
  <mergeCells count="13">
    <mergeCell ref="D3:H3"/>
    <mergeCell ref="T4:Y4"/>
    <mergeCell ref="BE4:BK4"/>
    <mergeCell ref="BL4:BR4"/>
    <mergeCell ref="BS4:BW4"/>
    <mergeCell ref="I3:Y3"/>
    <mergeCell ref="Z3:AA3"/>
    <mergeCell ref="AL3:AV3"/>
    <mergeCell ref="BE3:BR3"/>
    <mergeCell ref="BS3:BW3"/>
    <mergeCell ref="N4:P4"/>
    <mergeCell ref="Q4:S4"/>
    <mergeCell ref="AW3:BD3"/>
  </mergeCells>
  <phoneticPr fontId="2" type="noConversion"/>
  <conditionalFormatting sqref="W6:W117">
    <cfRule type="expression" dxfId="49" priority="22">
      <formula>$T6-$W6&lt;&gt;0</formula>
    </cfRule>
  </conditionalFormatting>
  <conditionalFormatting sqref="X6:X117">
    <cfRule type="expression" dxfId="48" priority="7">
      <formula>$U6-$X6&lt;&gt;0</formula>
    </cfRule>
  </conditionalFormatting>
  <conditionalFormatting sqref="Y6:Y117">
    <cfRule type="expression" dxfId="47" priority="6">
      <formula>$V6-$Y6&lt;&gt;0</formula>
    </cfRule>
  </conditionalFormatting>
  <conditionalFormatting sqref="AG6:AG117">
    <cfRule type="expression" dxfId="46" priority="5">
      <formula>$AC6-$AG6&lt;&gt;0</formula>
    </cfRule>
  </conditionalFormatting>
  <conditionalFormatting sqref="AH6:AH117">
    <cfRule type="expression" dxfId="45" priority="4">
      <formula>$AD6-$AH6&lt;&gt;0</formula>
    </cfRule>
  </conditionalFormatting>
  <conditionalFormatting sqref="AI6:AI117">
    <cfRule type="expression" dxfId="44" priority="3">
      <formula>$AE6-$AI6&lt;&gt;0</formula>
    </cfRule>
  </conditionalFormatting>
  <conditionalFormatting sqref="AJ6:AJ117">
    <cfRule type="expression" dxfId="43" priority="2">
      <formula>$AF6-$AJ6&lt;&gt;0</formula>
    </cfRule>
  </conditionalFormatting>
  <conditionalFormatting sqref="AV6:AV117">
    <cfRule type="expression" dxfId="42" priority="1">
      <formula>$AU6-$AV6&lt;&gt;0</formula>
    </cfRule>
  </conditionalFormatting>
  <pageMargins left="0.7" right="0.7" top="0.75" bottom="0.75" header="0.3" footer="0.3"/>
  <pageSetup paperSize="9" orientation="landscape" horizont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FB857-9D6B-40E6-B1B5-B048A8634108}">
  <dimension ref="A1:CP23"/>
  <sheetViews>
    <sheetView zoomScale="110" zoomScaleNormal="110" workbookViewId="0">
      <pane xSplit="3" ySplit="7" topLeftCell="D21" activePane="bottomRight" state="frozen"/>
      <selection pane="topRight" activeCell="D1" sqref="D1"/>
      <selection pane="bottomLeft" activeCell="A8" sqref="A8"/>
      <selection pane="bottomRight" activeCell="A24" sqref="A24:XFD44"/>
    </sheetView>
  </sheetViews>
  <sheetFormatPr baseColWidth="10" defaultColWidth="9.1640625" defaultRowHeight="15" x14ac:dyDescent="0.2"/>
  <cols>
    <col min="1" max="1" width="10.33203125" bestFit="1" customWidth="1"/>
    <col min="2" max="2" width="8.6640625" bestFit="1" customWidth="1"/>
    <col min="3" max="3" width="35" style="70" bestFit="1" customWidth="1"/>
    <col min="4" max="4" width="3.5" style="1" bestFit="1" customWidth="1"/>
    <col min="5" max="16" width="8.5" style="1" bestFit="1" customWidth="1"/>
    <col min="17" max="19" width="7.6640625" style="1" hidden="1" customWidth="1"/>
    <col min="20" max="25" width="8.5" style="1" bestFit="1" customWidth="1"/>
    <col min="26" max="27" width="8.5" style="1" hidden="1" customWidth="1"/>
    <col min="28" max="32" width="8.5" style="1" bestFit="1" customWidth="1"/>
    <col min="33" max="35" width="3.5" style="1" bestFit="1" customWidth="1"/>
    <col min="36" max="36" width="8.5" style="1" bestFit="1" customWidth="1"/>
    <col min="37" max="38" width="8.5" style="1" hidden="1" customWidth="1"/>
    <col min="39" max="39" width="3.5" style="1" hidden="1" customWidth="1"/>
    <col min="40" max="40" width="8.5" style="1" hidden="1" customWidth="1"/>
    <col min="41" max="41" width="3.5" style="1" hidden="1" customWidth="1"/>
    <col min="42" max="42" width="8.5" style="1" hidden="1" customWidth="1"/>
    <col min="43" max="43" width="3.5" style="1" hidden="1" customWidth="1"/>
    <col min="44" max="44" width="8.5" style="61" hidden="1" customWidth="1"/>
    <col min="45" max="45" width="3.5" hidden="1" customWidth="1"/>
    <col min="46" max="47" width="8.5" hidden="1" customWidth="1"/>
    <col min="48" max="48" width="3.5" hidden="1" customWidth="1"/>
    <col min="49" max="49" width="8.5" style="63" bestFit="1" customWidth="1"/>
    <col min="50" max="50" width="8.5" style="1" bestFit="1" customWidth="1"/>
    <col min="51" max="51" width="8.5" style="33" bestFit="1" customWidth="1"/>
    <col min="52" max="52" width="8.5" bestFit="1" customWidth="1"/>
    <col min="53" max="53" width="41.5" bestFit="1" customWidth="1"/>
    <col min="54" max="54" width="8.5" bestFit="1" customWidth="1"/>
    <col min="55" max="55" width="10.1640625" bestFit="1" customWidth="1"/>
    <col min="56" max="56" width="15" bestFit="1" customWidth="1"/>
    <col min="57" max="63" width="8.5" hidden="1" customWidth="1"/>
    <col min="64" max="70" width="7.6640625" hidden="1" customWidth="1"/>
    <col min="71" max="71" width="8.5" bestFit="1" customWidth="1"/>
    <col min="72" max="74" width="42" bestFit="1" customWidth="1"/>
    <col min="75" max="75" width="8.5" style="1" bestFit="1" customWidth="1"/>
    <col min="76" max="79" width="8.33203125" hidden="1" customWidth="1"/>
    <col min="80" max="81" width="8.33203125" style="33" hidden="1" customWidth="1"/>
    <col min="82" max="83" width="7.6640625" style="33" bestFit="1" customWidth="1"/>
    <col min="84" max="84" width="10.1640625" style="33" bestFit="1" customWidth="1"/>
    <col min="85" max="85" width="33" style="33" bestFit="1" customWidth="1"/>
    <col min="86" max="86" width="10.1640625" style="33" bestFit="1" customWidth="1"/>
    <col min="87" max="90" width="6.83203125" style="33" bestFit="1" customWidth="1"/>
    <col min="91" max="91" width="15.83203125" style="33" bestFit="1" customWidth="1"/>
    <col min="92" max="93" width="9.33203125" style="33" bestFit="1" customWidth="1"/>
  </cols>
  <sheetData>
    <row r="1" spans="1:94" ht="27" customHeight="1" x14ac:dyDescent="0.2">
      <c r="A1" s="148" t="s">
        <v>80</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72"/>
      <c r="CE1" s="72"/>
      <c r="CF1" s="72"/>
      <c r="CG1" s="72"/>
      <c r="CH1" s="72"/>
      <c r="CI1" s="72"/>
      <c r="CJ1" s="72"/>
      <c r="CK1" s="72"/>
      <c r="CL1" s="72"/>
      <c r="CM1" s="72"/>
      <c r="CN1"/>
      <c r="CO1"/>
    </row>
    <row r="2" spans="1:94" ht="20" thickBot="1" x14ac:dyDescent="0.3">
      <c r="A2" s="149" t="s">
        <v>140</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50"/>
      <c r="BT2" s="150"/>
      <c r="BU2" s="150"/>
      <c r="BV2" s="150"/>
      <c r="BW2" s="150"/>
      <c r="BX2" s="150"/>
      <c r="BY2" s="150"/>
      <c r="BZ2" s="150"/>
      <c r="CA2" s="149"/>
      <c r="CB2" s="149"/>
      <c r="CC2" s="149"/>
      <c r="CD2" s="73"/>
      <c r="CE2" s="73"/>
      <c r="CF2" s="73"/>
      <c r="CG2" s="73"/>
      <c r="CH2" s="73"/>
      <c r="CI2" s="73"/>
      <c r="CJ2" s="73"/>
      <c r="CK2" s="73"/>
      <c r="CL2" s="73"/>
      <c r="CM2" s="73"/>
      <c r="CN2"/>
      <c r="CO2"/>
    </row>
    <row r="3" spans="1:94" ht="16" thickBot="1" x14ac:dyDescent="0.25">
      <c r="A3" s="20"/>
      <c r="B3" s="21"/>
      <c r="C3" s="121"/>
      <c r="D3" s="139" t="s">
        <v>1</v>
      </c>
      <c r="E3" s="140"/>
      <c r="F3" s="140"/>
      <c r="G3" s="140"/>
      <c r="H3" s="141"/>
      <c r="I3" s="142" t="s">
        <v>2</v>
      </c>
      <c r="J3" s="143"/>
      <c r="K3" s="143"/>
      <c r="L3" s="143"/>
      <c r="M3" s="143"/>
      <c r="N3" s="143"/>
      <c r="O3" s="143"/>
      <c r="P3" s="143"/>
      <c r="Q3" s="143"/>
      <c r="R3" s="143"/>
      <c r="S3" s="143"/>
      <c r="T3" s="143"/>
      <c r="U3" s="143"/>
      <c r="V3" s="143"/>
      <c r="W3" s="143"/>
      <c r="X3" s="143"/>
      <c r="Y3" s="144"/>
      <c r="Z3" s="139" t="s">
        <v>3</v>
      </c>
      <c r="AA3" s="141"/>
      <c r="AB3" s="26" t="s">
        <v>4</v>
      </c>
      <c r="AC3" s="93" t="s">
        <v>5</v>
      </c>
      <c r="AD3" s="94"/>
      <c r="AE3" s="94"/>
      <c r="AF3" s="94"/>
      <c r="AG3" s="94"/>
      <c r="AH3" s="94"/>
      <c r="AI3" s="94"/>
      <c r="AJ3" s="111"/>
      <c r="AK3" s="26" t="s">
        <v>6</v>
      </c>
      <c r="AL3" s="139" t="s">
        <v>7</v>
      </c>
      <c r="AM3" s="140"/>
      <c r="AN3" s="140"/>
      <c r="AO3" s="140"/>
      <c r="AP3" s="140"/>
      <c r="AQ3" s="140"/>
      <c r="AR3" s="140"/>
      <c r="AS3" s="140"/>
      <c r="AT3" s="140"/>
      <c r="AU3" s="140"/>
      <c r="AV3" s="141"/>
      <c r="AW3" s="139" t="s">
        <v>8</v>
      </c>
      <c r="AX3" s="140"/>
      <c r="AY3" s="140"/>
      <c r="AZ3" s="140"/>
      <c r="BA3" s="140"/>
      <c r="BB3" s="140"/>
      <c r="BC3" s="140"/>
      <c r="BD3" s="141"/>
      <c r="BE3" s="142" t="s">
        <v>9</v>
      </c>
      <c r="BF3" s="143"/>
      <c r="BG3" s="143"/>
      <c r="BH3" s="143"/>
      <c r="BI3" s="143"/>
      <c r="BJ3" s="143"/>
      <c r="BK3" s="143"/>
      <c r="BL3" s="143"/>
      <c r="BM3" s="143"/>
      <c r="BN3" s="143"/>
      <c r="BO3" s="143"/>
      <c r="BP3" s="143"/>
      <c r="BQ3" s="143"/>
      <c r="BR3" s="143"/>
      <c r="BS3" s="145" t="s">
        <v>10</v>
      </c>
      <c r="BT3" s="146"/>
      <c r="BU3" s="146"/>
      <c r="BV3" s="146"/>
      <c r="BW3" s="147"/>
      <c r="BX3" s="103"/>
      <c r="BY3" s="103"/>
      <c r="BZ3" s="104"/>
      <c r="CA3" s="74"/>
      <c r="CB3" s="74"/>
      <c r="CC3" s="80"/>
      <c r="CD3" s="80"/>
      <c r="CE3" s="34"/>
      <c r="CF3" s="34"/>
      <c r="CG3" s="34"/>
      <c r="CH3" s="34"/>
      <c r="CI3" s="34"/>
      <c r="CJ3" s="34"/>
      <c r="CK3"/>
      <c r="CL3"/>
      <c r="CM3"/>
      <c r="CN3"/>
      <c r="CO3"/>
    </row>
    <row r="4" spans="1:94" ht="16" thickBot="1" x14ac:dyDescent="0.25">
      <c r="A4" s="23"/>
      <c r="B4" s="24"/>
      <c r="C4" s="122"/>
      <c r="D4" s="23"/>
      <c r="E4" s="24"/>
      <c r="F4" s="24"/>
      <c r="G4" s="24"/>
      <c r="H4" s="25"/>
      <c r="I4" s="86" t="s">
        <v>11</v>
      </c>
      <c r="J4" s="108"/>
      <c r="K4" s="108"/>
      <c r="L4" s="108"/>
      <c r="M4" s="109"/>
      <c r="N4" s="142" t="s">
        <v>88</v>
      </c>
      <c r="O4" s="143"/>
      <c r="P4" s="144"/>
      <c r="Q4" s="142" t="s">
        <v>13</v>
      </c>
      <c r="R4" s="143"/>
      <c r="S4" s="144"/>
      <c r="T4" s="142" t="s">
        <v>14</v>
      </c>
      <c r="U4" s="143"/>
      <c r="V4" s="143"/>
      <c r="W4" s="143"/>
      <c r="X4" s="143"/>
      <c r="Y4" s="144"/>
      <c r="Z4" s="23"/>
      <c r="AA4" s="25"/>
      <c r="AB4" s="27"/>
      <c r="AC4" s="23"/>
      <c r="AD4" s="24"/>
      <c r="AE4" s="24"/>
      <c r="AF4" s="24"/>
      <c r="AG4" s="24"/>
      <c r="AH4" s="24"/>
      <c r="AI4" s="24"/>
      <c r="AJ4" s="25"/>
      <c r="AK4" s="27"/>
      <c r="AL4" s="23"/>
      <c r="AM4" s="24"/>
      <c r="AN4" s="24"/>
      <c r="AO4" s="24"/>
      <c r="AP4" s="24"/>
      <c r="AQ4" s="24"/>
      <c r="AR4" s="24"/>
      <c r="AS4" s="24"/>
      <c r="AT4" s="24"/>
      <c r="AU4" s="24"/>
      <c r="AV4" s="25"/>
      <c r="AW4" s="23"/>
      <c r="AX4" s="24"/>
      <c r="AY4" s="18"/>
      <c r="AZ4" s="24"/>
      <c r="BA4" s="62"/>
      <c r="BB4" s="24"/>
      <c r="BC4" s="24"/>
      <c r="BD4" s="25"/>
      <c r="BE4" s="142" t="s">
        <v>15</v>
      </c>
      <c r="BF4" s="143"/>
      <c r="BG4" s="143"/>
      <c r="BH4" s="143"/>
      <c r="BI4" s="143"/>
      <c r="BJ4" s="143"/>
      <c r="BK4" s="144"/>
      <c r="BL4" s="142" t="s">
        <v>16</v>
      </c>
      <c r="BM4" s="143"/>
      <c r="BN4" s="143"/>
      <c r="BO4" s="143"/>
      <c r="BP4" s="143"/>
      <c r="BQ4" s="143"/>
      <c r="BR4" s="144"/>
      <c r="BS4" s="142"/>
      <c r="BT4" s="143"/>
      <c r="BU4" s="143"/>
      <c r="BV4" s="143"/>
      <c r="BW4" s="144"/>
      <c r="BX4" s="80"/>
      <c r="BY4" s="80"/>
      <c r="BZ4" s="34"/>
      <c r="CA4" s="34"/>
      <c r="CB4" s="34"/>
      <c r="CC4" s="34"/>
      <c r="CD4" s="34"/>
      <c r="CE4" s="34"/>
      <c r="CF4"/>
      <c r="CG4"/>
      <c r="CH4"/>
      <c r="CI4"/>
      <c r="CJ4"/>
      <c r="CK4"/>
      <c r="CL4"/>
      <c r="CM4"/>
      <c r="CN4"/>
      <c r="CO4"/>
    </row>
    <row r="5" spans="1:94" ht="16" hidden="1" thickBot="1" x14ac:dyDescent="0.25">
      <c r="AR5" s="63"/>
      <c r="AS5" s="1"/>
      <c r="AT5" s="1"/>
      <c r="AU5" s="1"/>
      <c r="AV5" s="1"/>
      <c r="AZ5" s="1"/>
      <c r="BA5" s="1"/>
      <c r="BB5" s="1"/>
      <c r="BC5" s="1"/>
      <c r="BD5" s="1"/>
      <c r="BE5" s="1"/>
      <c r="BF5" s="1"/>
      <c r="BG5" s="1"/>
      <c r="BH5" s="1"/>
      <c r="BI5" s="1"/>
      <c r="BJ5" s="1"/>
      <c r="BK5" s="1"/>
      <c r="BL5" s="1"/>
      <c r="BM5" s="1"/>
      <c r="BN5" s="1"/>
      <c r="BO5" s="1"/>
      <c r="BP5" s="1"/>
      <c r="BQ5" s="1"/>
      <c r="BR5" s="1"/>
      <c r="BS5" s="1"/>
      <c r="BT5" s="1"/>
      <c r="BU5" s="1"/>
      <c r="BV5" s="1"/>
      <c r="BX5" s="1"/>
      <c r="BY5" s="1"/>
      <c r="BZ5" s="1"/>
      <c r="CA5" s="1"/>
      <c r="CB5" s="1"/>
      <c r="CC5" s="1"/>
      <c r="CD5" s="1"/>
      <c r="CE5" s="1"/>
      <c r="CF5" s="1"/>
      <c r="CG5" s="1"/>
      <c r="CH5" s="1"/>
      <c r="CI5" s="1"/>
      <c r="CJ5" s="1"/>
      <c r="CK5" s="1"/>
      <c r="CL5" s="1"/>
      <c r="CM5" s="1"/>
      <c r="CN5" s="1"/>
      <c r="CO5" s="1"/>
      <c r="CP5" s="1"/>
    </row>
    <row r="6" spans="1:94" ht="16" hidden="1" thickBot="1" x14ac:dyDescent="0.25"/>
    <row r="7" spans="1:94" s="2" customFormat="1" ht="213" thickBot="1" x14ac:dyDescent="0.25">
      <c r="A7" s="6" t="s">
        <v>17</v>
      </c>
      <c r="B7" s="7" t="s">
        <v>18</v>
      </c>
      <c r="C7" s="123" t="s">
        <v>19</v>
      </c>
      <c r="D7" s="3" t="s">
        <v>20</v>
      </c>
      <c r="E7" s="4" t="s">
        <v>21</v>
      </c>
      <c r="F7" s="4" t="s">
        <v>22</v>
      </c>
      <c r="G7" s="4" t="s">
        <v>23</v>
      </c>
      <c r="H7" s="4" t="s">
        <v>24</v>
      </c>
      <c r="I7" s="9" t="s">
        <v>25</v>
      </c>
      <c r="J7" s="10" t="s">
        <v>126</v>
      </c>
      <c r="K7" s="10" t="s">
        <v>127</v>
      </c>
      <c r="L7" s="10" t="s">
        <v>128</v>
      </c>
      <c r="M7" s="11" t="s">
        <v>129</v>
      </c>
      <c r="N7" s="10" t="s">
        <v>26</v>
      </c>
      <c r="O7" s="10" t="s">
        <v>27</v>
      </c>
      <c r="P7" s="11" t="s">
        <v>28</v>
      </c>
      <c r="Q7" s="9" t="s">
        <v>29</v>
      </c>
      <c r="R7" s="10" t="s">
        <v>30</v>
      </c>
      <c r="S7" s="11" t="s">
        <v>31</v>
      </c>
      <c r="T7" s="9" t="s">
        <v>32</v>
      </c>
      <c r="U7" s="10" t="s">
        <v>33</v>
      </c>
      <c r="V7" s="10" t="s">
        <v>34</v>
      </c>
      <c r="W7" s="12" t="s">
        <v>35</v>
      </c>
      <c r="X7" s="12" t="s">
        <v>36</v>
      </c>
      <c r="Y7" s="13" t="s">
        <v>37</v>
      </c>
      <c r="Z7" s="9" t="s">
        <v>15</v>
      </c>
      <c r="AA7" s="11" t="s">
        <v>16</v>
      </c>
      <c r="AB7" s="10" t="s">
        <v>110</v>
      </c>
      <c r="AC7" s="9" t="s">
        <v>38</v>
      </c>
      <c r="AD7" s="10" t="s">
        <v>111</v>
      </c>
      <c r="AE7" s="10" t="s">
        <v>39</v>
      </c>
      <c r="AF7" s="10" t="s">
        <v>40</v>
      </c>
      <c r="AG7" s="92" t="s">
        <v>112</v>
      </c>
      <c r="AH7" s="92" t="s">
        <v>113</v>
      </c>
      <c r="AI7" s="92" t="s">
        <v>114</v>
      </c>
      <c r="AJ7" s="118" t="s">
        <v>115</v>
      </c>
      <c r="AK7" s="14" t="s">
        <v>41</v>
      </c>
      <c r="AL7" s="9" t="s">
        <v>42</v>
      </c>
      <c r="AM7" s="92" t="s">
        <v>122</v>
      </c>
      <c r="AN7" s="10" t="s">
        <v>43</v>
      </c>
      <c r="AO7" s="92" t="s">
        <v>123</v>
      </c>
      <c r="AP7" s="10" t="s">
        <v>45</v>
      </c>
      <c r="AQ7" s="92" t="s">
        <v>124</v>
      </c>
      <c r="AR7" s="10" t="s">
        <v>44</v>
      </c>
      <c r="AS7" s="92" t="s">
        <v>125</v>
      </c>
      <c r="AT7" s="10" t="s">
        <v>116</v>
      </c>
      <c r="AU7" s="10" t="s">
        <v>117</v>
      </c>
      <c r="AV7" s="92" t="s">
        <v>118</v>
      </c>
      <c r="AW7" s="9" t="s">
        <v>46</v>
      </c>
      <c r="AX7" s="10" t="s">
        <v>47</v>
      </c>
      <c r="AY7" s="10" t="s">
        <v>48</v>
      </c>
      <c r="AZ7" s="10" t="s">
        <v>49</v>
      </c>
      <c r="BA7" s="96" t="s">
        <v>50</v>
      </c>
      <c r="BB7" s="10" t="s">
        <v>51</v>
      </c>
      <c r="BC7" s="10" t="s">
        <v>52</v>
      </c>
      <c r="BD7" s="10" t="s">
        <v>108</v>
      </c>
      <c r="BE7" s="9" t="s">
        <v>53</v>
      </c>
      <c r="BF7" s="10" t="s">
        <v>54</v>
      </c>
      <c r="BG7" s="10" t="s">
        <v>55</v>
      </c>
      <c r="BH7" s="10" t="s">
        <v>56</v>
      </c>
      <c r="BI7" s="10" t="s">
        <v>57</v>
      </c>
      <c r="BJ7" s="10" t="s">
        <v>58</v>
      </c>
      <c r="BK7" s="11" t="s">
        <v>59</v>
      </c>
      <c r="BL7" s="9" t="s">
        <v>60</v>
      </c>
      <c r="BM7" s="10" t="s">
        <v>61</v>
      </c>
      <c r="BN7" s="10" t="s">
        <v>62</v>
      </c>
      <c r="BO7" s="10" t="s">
        <v>63</v>
      </c>
      <c r="BP7" s="10" t="s">
        <v>64</v>
      </c>
      <c r="BQ7" s="10" t="s">
        <v>65</v>
      </c>
      <c r="BR7" s="10" t="s">
        <v>66</v>
      </c>
      <c r="BS7" s="9" t="s">
        <v>70</v>
      </c>
      <c r="BT7" s="10" t="s">
        <v>67</v>
      </c>
      <c r="BU7" s="10" t="s">
        <v>68</v>
      </c>
      <c r="BV7" s="10" t="s">
        <v>69</v>
      </c>
      <c r="BW7" s="11" t="s">
        <v>71</v>
      </c>
    </row>
    <row r="8" spans="1:94" s="2" customFormat="1" ht="16" x14ac:dyDescent="0.2">
      <c r="A8" s="5" t="s">
        <v>167</v>
      </c>
      <c r="B8" s="5" t="s">
        <v>367</v>
      </c>
      <c r="C8" s="89" t="s">
        <v>368</v>
      </c>
      <c r="D8" s="89" t="s">
        <v>73</v>
      </c>
      <c r="E8" s="5" t="s">
        <v>72</v>
      </c>
      <c r="F8" s="5" t="s">
        <v>73</v>
      </c>
      <c r="G8" s="5" t="s">
        <v>73</v>
      </c>
      <c r="H8" s="102"/>
      <c r="I8" s="5">
        <v>2</v>
      </c>
      <c r="J8" s="1">
        <v>1</v>
      </c>
      <c r="K8" s="1"/>
      <c r="L8" s="1"/>
      <c r="M8" s="1"/>
      <c r="N8" s="5"/>
      <c r="O8" s="5"/>
      <c r="P8" s="5"/>
      <c r="Q8" s="5" t="s">
        <v>73</v>
      </c>
      <c r="R8" s="5" t="s">
        <v>73</v>
      </c>
      <c r="S8" s="5" t="s">
        <v>73</v>
      </c>
      <c r="T8" s="5"/>
      <c r="U8" s="5"/>
      <c r="V8" s="5"/>
      <c r="W8" s="1"/>
      <c r="X8" s="90"/>
      <c r="Y8" s="90"/>
      <c r="Z8" s="5" t="s">
        <v>73</v>
      </c>
      <c r="AA8" s="5" t="s">
        <v>73</v>
      </c>
      <c r="AB8" s="1"/>
      <c r="AC8" s="5"/>
      <c r="AD8"/>
      <c r="AE8" s="5"/>
      <c r="AF8" s="5"/>
      <c r="AG8" s="5"/>
      <c r="AH8" s="5"/>
      <c r="AI8"/>
      <c r="AJ8" s="1"/>
      <c r="AK8" s="5" t="s">
        <v>73</v>
      </c>
      <c r="AL8" s="5" t="s">
        <v>73</v>
      </c>
      <c r="AM8"/>
      <c r="AN8" s="5" t="s">
        <v>73</v>
      </c>
      <c r="AO8"/>
      <c r="AP8" s="5" t="s">
        <v>73</v>
      </c>
      <c r="AQ8"/>
      <c r="AR8" s="5" t="s">
        <v>73</v>
      </c>
      <c r="AS8"/>
      <c r="AT8" t="s">
        <v>73</v>
      </c>
      <c r="AU8"/>
      <c r="AV8"/>
      <c r="AW8" s="1">
        <v>50</v>
      </c>
      <c r="AX8" s="1">
        <v>0</v>
      </c>
      <c r="AY8" s="136" t="s">
        <v>73</v>
      </c>
      <c r="AZ8" s="4" t="s">
        <v>72</v>
      </c>
      <c r="BA8" s="91" t="s">
        <v>73</v>
      </c>
      <c r="BB8">
        <v>1985</v>
      </c>
      <c r="BC8" s="101">
        <v>45657.799756944441</v>
      </c>
      <c r="BD8" s="85">
        <v>45657.758090277777</v>
      </c>
      <c r="BE8" t="s">
        <v>73</v>
      </c>
      <c r="BF8" t="s">
        <v>73</v>
      </c>
      <c r="BG8" t="s">
        <v>73</v>
      </c>
      <c r="BH8" t="s">
        <v>73</v>
      </c>
      <c r="BI8" t="s">
        <v>73</v>
      </c>
      <c r="BJ8" t="s">
        <v>73</v>
      </c>
      <c r="BK8"/>
      <c r="BL8" t="s">
        <v>73</v>
      </c>
      <c r="BM8" t="s">
        <v>73</v>
      </c>
      <c r="BN8" t="s">
        <v>73</v>
      </c>
      <c r="BO8" t="s">
        <v>73</v>
      </c>
      <c r="BP8" t="s">
        <v>73</v>
      </c>
      <c r="BQ8" t="s">
        <v>73</v>
      </c>
      <c r="BR8"/>
      <c r="BS8" t="s">
        <v>73</v>
      </c>
      <c r="BT8" t="s">
        <v>369</v>
      </c>
      <c r="BU8" t="s">
        <v>369</v>
      </c>
      <c r="BV8" t="s">
        <v>369</v>
      </c>
      <c r="BW8" s="1"/>
    </row>
    <row r="9" spans="1:94" ht="64" x14ac:dyDescent="0.2">
      <c r="A9" s="5" t="s">
        <v>167</v>
      </c>
      <c r="B9" s="5" t="s">
        <v>348</v>
      </c>
      <c r="C9" s="89" t="s">
        <v>349</v>
      </c>
      <c r="D9" s="89" t="s">
        <v>73</v>
      </c>
      <c r="E9" s="5" t="s">
        <v>72</v>
      </c>
      <c r="F9" s="5" t="s">
        <v>73</v>
      </c>
      <c r="G9" s="5" t="s">
        <v>72</v>
      </c>
      <c r="H9" s="102" t="s">
        <v>74</v>
      </c>
      <c r="I9" s="5"/>
      <c r="N9" s="5"/>
      <c r="O9" s="5"/>
      <c r="P9" s="5"/>
      <c r="Q9" s="5" t="s">
        <v>73</v>
      </c>
      <c r="R9" s="5" t="s">
        <v>73</v>
      </c>
      <c r="S9" s="5" t="s">
        <v>73</v>
      </c>
      <c r="T9" s="5"/>
      <c r="U9" s="5"/>
      <c r="V9" s="5"/>
      <c r="X9" s="90"/>
      <c r="Y9" s="90"/>
      <c r="Z9" s="5" t="s">
        <v>73</v>
      </c>
      <c r="AA9" s="5" t="s">
        <v>73</v>
      </c>
      <c r="AB9" s="1">
        <v>11</v>
      </c>
      <c r="AC9" s="5">
        <v>2</v>
      </c>
      <c r="AD9">
        <v>1</v>
      </c>
      <c r="AE9" s="5"/>
      <c r="AF9" s="5">
        <v>2</v>
      </c>
      <c r="AG9" s="5">
        <v>2</v>
      </c>
      <c r="AH9" s="5">
        <v>1</v>
      </c>
      <c r="AI9"/>
      <c r="AJ9" s="1">
        <v>2</v>
      </c>
      <c r="AK9" s="5" t="s">
        <v>73</v>
      </c>
      <c r="AL9" s="5" t="s">
        <v>73</v>
      </c>
      <c r="AM9"/>
      <c r="AN9" s="5" t="s">
        <v>73</v>
      </c>
      <c r="AO9"/>
      <c r="AP9" s="5" t="s">
        <v>73</v>
      </c>
      <c r="AQ9"/>
      <c r="AR9" s="5" t="s">
        <v>73</v>
      </c>
      <c r="AT9" t="s">
        <v>73</v>
      </c>
      <c r="AW9" s="1">
        <v>50</v>
      </c>
      <c r="AX9" s="1">
        <v>15</v>
      </c>
      <c r="AY9" s="136" t="s">
        <v>72</v>
      </c>
      <c r="AZ9" s="4" t="s">
        <v>73</v>
      </c>
      <c r="BA9" s="91" t="s">
        <v>401</v>
      </c>
      <c r="BB9">
        <v>1980</v>
      </c>
      <c r="BC9" s="101">
        <v>45656.847210648149</v>
      </c>
      <c r="BD9" s="85">
        <v>45658.751192129632</v>
      </c>
      <c r="BE9" t="s">
        <v>73</v>
      </c>
      <c r="BF9" t="s">
        <v>73</v>
      </c>
      <c r="BG9" t="s">
        <v>73</v>
      </c>
      <c r="BH9" t="s">
        <v>73</v>
      </c>
      <c r="BI9" t="s">
        <v>73</v>
      </c>
      <c r="BJ9" t="s">
        <v>73</v>
      </c>
      <c r="BL9" t="s">
        <v>73</v>
      </c>
      <c r="BM9" t="s">
        <v>73</v>
      </c>
      <c r="BN9" t="s">
        <v>73</v>
      </c>
      <c r="BO9" t="s">
        <v>73</v>
      </c>
      <c r="BP9" t="s">
        <v>73</v>
      </c>
      <c r="BQ9" t="s">
        <v>73</v>
      </c>
      <c r="BS9" t="s">
        <v>75</v>
      </c>
      <c r="BT9" t="s">
        <v>370</v>
      </c>
      <c r="BU9" t="s">
        <v>371</v>
      </c>
      <c r="BV9" t="s">
        <v>372</v>
      </c>
      <c r="BW9" s="1">
        <v>18</v>
      </c>
      <c r="CB9"/>
      <c r="CC9"/>
      <c r="CD9"/>
      <c r="CE9"/>
      <c r="CF9"/>
      <c r="CG9"/>
      <c r="CH9"/>
      <c r="CI9"/>
      <c r="CJ9"/>
      <c r="CK9"/>
      <c r="CL9"/>
      <c r="CM9"/>
      <c r="CN9"/>
      <c r="CO9"/>
    </row>
    <row r="10" spans="1:94" ht="48" x14ac:dyDescent="0.2">
      <c r="A10" s="5" t="s">
        <v>167</v>
      </c>
      <c r="B10" s="5" t="s">
        <v>329</v>
      </c>
      <c r="C10" s="89" t="s">
        <v>330</v>
      </c>
      <c r="D10" s="89" t="s">
        <v>73</v>
      </c>
      <c r="E10" s="5" t="s">
        <v>72</v>
      </c>
      <c r="F10" s="5" t="s">
        <v>72</v>
      </c>
      <c r="G10" s="5" t="s">
        <v>73</v>
      </c>
      <c r="H10" s="102"/>
      <c r="I10" s="5">
        <v>9</v>
      </c>
      <c r="N10" s="5"/>
      <c r="O10" s="5"/>
      <c r="P10" s="5"/>
      <c r="Q10" s="5" t="s">
        <v>73</v>
      </c>
      <c r="R10" s="5" t="s">
        <v>73</v>
      </c>
      <c r="S10" s="5" t="s">
        <v>73</v>
      </c>
      <c r="T10" s="5"/>
      <c r="U10" s="5"/>
      <c r="V10" s="5"/>
      <c r="X10" s="90"/>
      <c r="Y10" s="90"/>
      <c r="Z10" s="5" t="s">
        <v>73</v>
      </c>
      <c r="AA10" s="5" t="s">
        <v>73</v>
      </c>
      <c r="AC10" s="5">
        <v>2</v>
      </c>
      <c r="AD10">
        <v>2</v>
      </c>
      <c r="AE10" s="5"/>
      <c r="AF10" s="5">
        <v>1</v>
      </c>
      <c r="AG10" s="5">
        <v>3</v>
      </c>
      <c r="AH10" s="5">
        <v>1</v>
      </c>
      <c r="AI10"/>
      <c r="AJ10" s="1">
        <v>1</v>
      </c>
      <c r="AK10" s="5" t="s">
        <v>73</v>
      </c>
      <c r="AL10" s="5" t="s">
        <v>73</v>
      </c>
      <c r="AM10"/>
      <c r="AN10" s="5" t="s">
        <v>73</v>
      </c>
      <c r="AO10"/>
      <c r="AP10" s="5" t="s">
        <v>73</v>
      </c>
      <c r="AQ10"/>
      <c r="AR10" s="5" t="s">
        <v>73</v>
      </c>
      <c r="AT10" t="s">
        <v>73</v>
      </c>
      <c r="AW10" s="1">
        <v>80</v>
      </c>
      <c r="AX10" s="1">
        <v>20</v>
      </c>
      <c r="AY10" s="136" t="s">
        <v>72</v>
      </c>
      <c r="AZ10" s="4" t="s">
        <v>73</v>
      </c>
      <c r="BA10" s="91" t="s">
        <v>402</v>
      </c>
      <c r="BB10">
        <v>1968</v>
      </c>
      <c r="BC10" s="101">
        <v>45655.670208333337</v>
      </c>
      <c r="BD10" s="85">
        <v>45658.752060185187</v>
      </c>
      <c r="BE10" t="s">
        <v>73</v>
      </c>
      <c r="BF10" t="s">
        <v>73</v>
      </c>
      <c r="BG10" t="s">
        <v>73</v>
      </c>
      <c r="BH10" t="s">
        <v>73</v>
      </c>
      <c r="BI10" t="s">
        <v>73</v>
      </c>
      <c r="BJ10" t="s">
        <v>73</v>
      </c>
      <c r="BL10" t="s">
        <v>73</v>
      </c>
      <c r="BM10" t="s">
        <v>73</v>
      </c>
      <c r="BN10" t="s">
        <v>73</v>
      </c>
      <c r="BO10" t="s">
        <v>73</v>
      </c>
      <c r="BP10" t="s">
        <v>73</v>
      </c>
      <c r="BQ10" t="s">
        <v>73</v>
      </c>
      <c r="BS10" t="s">
        <v>73</v>
      </c>
      <c r="BT10" t="s">
        <v>369</v>
      </c>
      <c r="BU10" t="s">
        <v>369</v>
      </c>
      <c r="BV10" t="s">
        <v>369</v>
      </c>
      <c r="BX10" s="33"/>
      <c r="BY10" s="33"/>
      <c r="BZ10" s="33"/>
      <c r="CB10"/>
      <c r="CC10"/>
      <c r="CD10"/>
      <c r="CE10"/>
      <c r="CF10"/>
      <c r="CG10"/>
      <c r="CH10"/>
      <c r="CI10"/>
      <c r="CJ10"/>
      <c r="CK10"/>
      <c r="CL10"/>
      <c r="CM10"/>
      <c r="CN10"/>
      <c r="CO10"/>
    </row>
    <row r="11" spans="1:94" ht="16" x14ac:dyDescent="0.2">
      <c r="A11" s="5" t="s">
        <v>167</v>
      </c>
      <c r="B11" s="5" t="s">
        <v>303</v>
      </c>
      <c r="C11" s="89" t="s">
        <v>304</v>
      </c>
      <c r="D11" s="89" t="s">
        <v>73</v>
      </c>
      <c r="E11" s="5" t="s">
        <v>73</v>
      </c>
      <c r="F11" s="5" t="s">
        <v>73</v>
      </c>
      <c r="G11" s="5" t="s">
        <v>73</v>
      </c>
      <c r="H11" s="102"/>
      <c r="I11" s="5">
        <v>4</v>
      </c>
      <c r="N11" s="5"/>
      <c r="O11" s="5"/>
      <c r="P11" s="5"/>
      <c r="Q11" s="5" t="s">
        <v>73</v>
      </c>
      <c r="R11" s="5" t="s">
        <v>73</v>
      </c>
      <c r="S11" s="5" t="s">
        <v>73</v>
      </c>
      <c r="T11" s="5"/>
      <c r="U11" s="5"/>
      <c r="V11" s="5"/>
      <c r="X11" s="90"/>
      <c r="Y11" s="90"/>
      <c r="Z11" s="5" t="s">
        <v>73</v>
      </c>
      <c r="AA11" s="5" t="s">
        <v>73</v>
      </c>
      <c r="AC11" s="5"/>
      <c r="AD11"/>
      <c r="AE11" s="5"/>
      <c r="AF11" s="5"/>
      <c r="AG11" s="5"/>
      <c r="AH11" s="5"/>
      <c r="AI11"/>
      <c r="AK11" s="5" t="s">
        <v>73</v>
      </c>
      <c r="AL11" s="5" t="s">
        <v>73</v>
      </c>
      <c r="AM11"/>
      <c r="AN11" s="5" t="s">
        <v>73</v>
      </c>
      <c r="AO11"/>
      <c r="AP11" s="5" t="s">
        <v>73</v>
      </c>
      <c r="AQ11"/>
      <c r="AR11" s="5" t="s">
        <v>73</v>
      </c>
      <c r="AT11" t="s">
        <v>73</v>
      </c>
      <c r="AW11" s="1">
        <v>12</v>
      </c>
      <c r="AX11" s="1">
        <v>0</v>
      </c>
      <c r="AY11" s="136" t="s">
        <v>73</v>
      </c>
      <c r="AZ11" s="4" t="s">
        <v>73</v>
      </c>
      <c r="BA11" s="91" t="s">
        <v>305</v>
      </c>
      <c r="BB11">
        <v>1944</v>
      </c>
      <c r="BC11" s="101">
        <v>45653.597291666665</v>
      </c>
      <c r="BD11" s="85">
        <v>45653.555625000001</v>
      </c>
      <c r="BE11" t="s">
        <v>73</v>
      </c>
      <c r="BF11" t="s">
        <v>73</v>
      </c>
      <c r="BG11" t="s">
        <v>73</v>
      </c>
      <c r="BH11" t="s">
        <v>73</v>
      </c>
      <c r="BI11" t="s">
        <v>73</v>
      </c>
      <c r="BJ11" t="s">
        <v>73</v>
      </c>
      <c r="BL11" t="s">
        <v>73</v>
      </c>
      <c r="BM11" t="s">
        <v>73</v>
      </c>
      <c r="BN11" t="s">
        <v>73</v>
      </c>
      <c r="BO11" t="s">
        <v>73</v>
      </c>
      <c r="BP11" t="s">
        <v>73</v>
      </c>
      <c r="BQ11" t="s">
        <v>73</v>
      </c>
      <c r="BS11" t="s">
        <v>73</v>
      </c>
      <c r="BT11" t="s">
        <v>369</v>
      </c>
      <c r="BU11" t="s">
        <v>369</v>
      </c>
      <c r="BV11" t="s">
        <v>369</v>
      </c>
      <c r="BX11" s="1"/>
      <c r="BY11" s="1"/>
      <c r="CB11"/>
      <c r="CC11"/>
      <c r="CD11"/>
      <c r="CE11"/>
      <c r="CF11"/>
      <c r="CG11"/>
      <c r="CH11"/>
      <c r="CI11"/>
      <c r="CJ11"/>
      <c r="CK11"/>
      <c r="CL11"/>
      <c r="CM11"/>
      <c r="CN11"/>
      <c r="CO11"/>
    </row>
    <row r="12" spans="1:94" ht="16" x14ac:dyDescent="0.2">
      <c r="A12" s="5" t="s">
        <v>167</v>
      </c>
      <c r="B12" s="5" t="s">
        <v>306</v>
      </c>
      <c r="C12" s="89" t="s">
        <v>307</v>
      </c>
      <c r="D12" s="89" t="s">
        <v>73</v>
      </c>
      <c r="E12" s="5" t="s">
        <v>72</v>
      </c>
      <c r="F12" s="5" t="s">
        <v>73</v>
      </c>
      <c r="G12" s="5" t="s">
        <v>73</v>
      </c>
      <c r="H12" s="102"/>
      <c r="I12" s="5">
        <v>4</v>
      </c>
      <c r="N12" s="5"/>
      <c r="O12" s="5"/>
      <c r="P12" s="5"/>
      <c r="Q12" s="5" t="s">
        <v>73</v>
      </c>
      <c r="R12" s="5" t="s">
        <v>73</v>
      </c>
      <c r="S12" s="5" t="s">
        <v>73</v>
      </c>
      <c r="T12" s="5"/>
      <c r="U12" s="5"/>
      <c r="V12" s="5"/>
      <c r="X12" s="90"/>
      <c r="Y12" s="90"/>
      <c r="Z12" s="5" t="s">
        <v>73</v>
      </c>
      <c r="AA12" s="5" t="s">
        <v>73</v>
      </c>
      <c r="AC12" s="5"/>
      <c r="AD12"/>
      <c r="AE12" s="5"/>
      <c r="AF12" s="5"/>
      <c r="AG12" s="5"/>
      <c r="AH12" s="5"/>
      <c r="AI12"/>
      <c r="AK12" s="5" t="s">
        <v>73</v>
      </c>
      <c r="AL12" s="5" t="s">
        <v>73</v>
      </c>
      <c r="AM12"/>
      <c r="AN12" s="5" t="s">
        <v>73</v>
      </c>
      <c r="AO12"/>
      <c r="AP12" s="5" t="s">
        <v>73</v>
      </c>
      <c r="AQ12"/>
      <c r="AR12" s="5" t="s">
        <v>73</v>
      </c>
      <c r="AT12" t="s">
        <v>73</v>
      </c>
      <c r="AW12" s="1">
        <v>25</v>
      </c>
      <c r="AX12" s="1">
        <v>5</v>
      </c>
      <c r="AY12" s="136" t="s">
        <v>73</v>
      </c>
      <c r="AZ12" s="4" t="s">
        <v>73</v>
      </c>
      <c r="BA12" s="91" t="s">
        <v>308</v>
      </c>
      <c r="BB12">
        <v>1940</v>
      </c>
      <c r="BC12" s="101">
        <v>45653.434432870374</v>
      </c>
      <c r="BD12" s="85">
        <v>45653.392766203702</v>
      </c>
      <c r="BE12" t="s">
        <v>73</v>
      </c>
      <c r="BF12" t="s">
        <v>73</v>
      </c>
      <c r="BG12" t="s">
        <v>73</v>
      </c>
      <c r="BH12" t="s">
        <v>73</v>
      </c>
      <c r="BI12" t="s">
        <v>73</v>
      </c>
      <c r="BJ12" t="s">
        <v>73</v>
      </c>
      <c r="BL12" t="s">
        <v>73</v>
      </c>
      <c r="BM12" t="s">
        <v>73</v>
      </c>
      <c r="BN12" t="s">
        <v>73</v>
      </c>
      <c r="BO12" t="s">
        <v>73</v>
      </c>
      <c r="BP12" t="s">
        <v>73</v>
      </c>
      <c r="BQ12" t="s">
        <v>73</v>
      </c>
      <c r="BS12" t="s">
        <v>73</v>
      </c>
      <c r="BT12" t="s">
        <v>369</v>
      </c>
      <c r="BU12" t="s">
        <v>369</v>
      </c>
      <c r="BV12" t="s">
        <v>369</v>
      </c>
      <c r="BX12" s="33"/>
      <c r="BY12" s="33"/>
      <c r="BZ12" s="33"/>
      <c r="CB12"/>
      <c r="CC12"/>
      <c r="CD12"/>
      <c r="CE12"/>
      <c r="CF12"/>
      <c r="CG12"/>
      <c r="CH12"/>
      <c r="CI12"/>
      <c r="CJ12"/>
      <c r="CK12"/>
      <c r="CL12"/>
      <c r="CM12"/>
      <c r="CN12"/>
      <c r="CO12"/>
    </row>
    <row r="13" spans="1:94" ht="16" x14ac:dyDescent="0.2">
      <c r="A13" s="5" t="s">
        <v>167</v>
      </c>
      <c r="B13" s="5" t="s">
        <v>288</v>
      </c>
      <c r="C13" s="89" t="s">
        <v>289</v>
      </c>
      <c r="D13" s="89" t="s">
        <v>73</v>
      </c>
      <c r="E13" s="5" t="s">
        <v>72</v>
      </c>
      <c r="F13" s="5" t="s">
        <v>72</v>
      </c>
      <c r="G13" s="5" t="s">
        <v>72</v>
      </c>
      <c r="H13" s="102" t="s">
        <v>74</v>
      </c>
      <c r="I13" s="5">
        <v>10</v>
      </c>
      <c r="J13" s="1">
        <v>9</v>
      </c>
      <c r="L13" s="1">
        <v>3</v>
      </c>
      <c r="N13" s="5"/>
      <c r="O13" s="5"/>
      <c r="P13" s="5"/>
      <c r="Q13" s="5" t="s">
        <v>73</v>
      </c>
      <c r="R13" s="5" t="s">
        <v>73</v>
      </c>
      <c r="S13" s="5" t="s">
        <v>73</v>
      </c>
      <c r="T13" s="5"/>
      <c r="U13" s="5"/>
      <c r="V13" s="5"/>
      <c r="W13" s="1">
        <v>1</v>
      </c>
      <c r="X13" s="90"/>
      <c r="Y13" s="90"/>
      <c r="Z13" s="5" t="s">
        <v>73</v>
      </c>
      <c r="AA13" s="5" t="s">
        <v>73</v>
      </c>
      <c r="AB13" s="1">
        <v>4</v>
      </c>
      <c r="AC13" s="5">
        <v>9</v>
      </c>
      <c r="AD13">
        <v>2</v>
      </c>
      <c r="AE13" s="5">
        <v>2</v>
      </c>
      <c r="AF13" s="5">
        <v>2</v>
      </c>
      <c r="AG13" s="5">
        <v>9</v>
      </c>
      <c r="AH13" s="5">
        <v>2</v>
      </c>
      <c r="AI13">
        <v>2</v>
      </c>
      <c r="AJ13" s="1">
        <v>2</v>
      </c>
      <c r="AK13" s="5" t="s">
        <v>73</v>
      </c>
      <c r="AL13" s="5" t="s">
        <v>73</v>
      </c>
      <c r="AM13"/>
      <c r="AN13" s="5" t="s">
        <v>73</v>
      </c>
      <c r="AO13"/>
      <c r="AP13" s="5" t="s">
        <v>73</v>
      </c>
      <c r="AQ13"/>
      <c r="AR13" s="5" t="s">
        <v>73</v>
      </c>
      <c r="AT13" t="s">
        <v>73</v>
      </c>
      <c r="AW13" s="1">
        <v>130</v>
      </c>
      <c r="AX13" s="1">
        <v>35</v>
      </c>
      <c r="AY13" s="136" t="s">
        <v>73</v>
      </c>
      <c r="AZ13" s="4" t="s">
        <v>73</v>
      </c>
      <c r="BA13" s="91" t="s">
        <v>73</v>
      </c>
      <c r="BB13">
        <v>1925</v>
      </c>
      <c r="BC13" s="101">
        <v>45652.501550925925</v>
      </c>
      <c r="BD13" s="85">
        <v>45652.45988425926</v>
      </c>
      <c r="BE13" t="s">
        <v>73</v>
      </c>
      <c r="BF13" t="s">
        <v>73</v>
      </c>
      <c r="BG13" t="s">
        <v>73</v>
      </c>
      <c r="BH13" t="s">
        <v>73</v>
      </c>
      <c r="BI13" t="s">
        <v>73</v>
      </c>
      <c r="BJ13" t="s">
        <v>73</v>
      </c>
      <c r="BL13" t="s">
        <v>73</v>
      </c>
      <c r="BM13" t="s">
        <v>73</v>
      </c>
      <c r="BN13" t="s">
        <v>73</v>
      </c>
      <c r="BO13" t="s">
        <v>73</v>
      </c>
      <c r="BP13" t="s">
        <v>73</v>
      </c>
      <c r="BQ13" t="s">
        <v>73</v>
      </c>
      <c r="BS13" t="s">
        <v>75</v>
      </c>
      <c r="BT13" t="s">
        <v>373</v>
      </c>
      <c r="BU13" t="s">
        <v>374</v>
      </c>
      <c r="BV13" t="s">
        <v>375</v>
      </c>
      <c r="BW13" s="1">
        <v>18</v>
      </c>
      <c r="BX13" s="33"/>
      <c r="BY13" s="33"/>
      <c r="BZ13" s="33"/>
      <c r="CB13"/>
      <c r="CC13"/>
      <c r="CD13"/>
      <c r="CE13"/>
      <c r="CF13"/>
      <c r="CG13"/>
      <c r="CH13"/>
      <c r="CI13"/>
      <c r="CJ13"/>
      <c r="CK13"/>
      <c r="CL13"/>
      <c r="CM13"/>
      <c r="CN13"/>
      <c r="CO13"/>
    </row>
    <row r="14" spans="1:94" ht="16" x14ac:dyDescent="0.2">
      <c r="A14" s="5" t="s">
        <v>167</v>
      </c>
      <c r="B14" s="5" t="s">
        <v>278</v>
      </c>
      <c r="C14" s="89" t="s">
        <v>279</v>
      </c>
      <c r="D14" s="89" t="s">
        <v>73</v>
      </c>
      <c r="E14" s="5" t="s">
        <v>72</v>
      </c>
      <c r="F14" s="5" t="s">
        <v>72</v>
      </c>
      <c r="G14" s="5" t="s">
        <v>73</v>
      </c>
      <c r="H14" s="102" t="s">
        <v>72</v>
      </c>
      <c r="I14" s="5">
        <v>6</v>
      </c>
      <c r="J14" s="1">
        <v>6</v>
      </c>
      <c r="N14" s="5"/>
      <c r="O14" s="5"/>
      <c r="P14" s="5"/>
      <c r="Q14" s="5" t="s">
        <v>73</v>
      </c>
      <c r="R14" s="5" t="s">
        <v>73</v>
      </c>
      <c r="S14" s="5" t="s">
        <v>73</v>
      </c>
      <c r="T14" s="5"/>
      <c r="U14" s="5"/>
      <c r="V14" s="5"/>
      <c r="X14" s="90"/>
      <c r="Y14" s="90"/>
      <c r="Z14" s="5" t="s">
        <v>73</v>
      </c>
      <c r="AA14" s="5" t="s">
        <v>73</v>
      </c>
      <c r="AB14" s="1">
        <v>3</v>
      </c>
      <c r="AC14" s="5">
        <v>3</v>
      </c>
      <c r="AD14"/>
      <c r="AE14" s="5"/>
      <c r="AF14" s="5"/>
      <c r="AG14" s="5">
        <v>3</v>
      </c>
      <c r="AH14" s="5"/>
      <c r="AI14"/>
      <c r="AK14" s="5" t="s">
        <v>73</v>
      </c>
      <c r="AL14" s="5" t="s">
        <v>73</v>
      </c>
      <c r="AM14"/>
      <c r="AN14" s="5" t="s">
        <v>73</v>
      </c>
      <c r="AO14"/>
      <c r="AP14" s="5" t="s">
        <v>73</v>
      </c>
      <c r="AQ14"/>
      <c r="AR14" s="5" t="s">
        <v>73</v>
      </c>
      <c r="AT14" t="s">
        <v>73</v>
      </c>
      <c r="AW14" s="1">
        <v>100</v>
      </c>
      <c r="AX14" s="1">
        <v>30</v>
      </c>
      <c r="AY14" s="136" t="s">
        <v>72</v>
      </c>
      <c r="AZ14" s="4" t="s">
        <v>72</v>
      </c>
      <c r="BA14" s="91" t="s">
        <v>73</v>
      </c>
      <c r="BB14">
        <v>1916</v>
      </c>
      <c r="BC14" s="101">
        <v>45649.823298611111</v>
      </c>
      <c r="BD14" s="85">
        <v>45649.781631944446</v>
      </c>
      <c r="BE14" t="s">
        <v>73</v>
      </c>
      <c r="BF14" t="s">
        <v>73</v>
      </c>
      <c r="BG14" t="s">
        <v>73</v>
      </c>
      <c r="BH14" t="s">
        <v>73</v>
      </c>
      <c r="BI14" t="s">
        <v>73</v>
      </c>
      <c r="BJ14" t="s">
        <v>73</v>
      </c>
      <c r="BL14" t="s">
        <v>73</v>
      </c>
      <c r="BM14" t="s">
        <v>73</v>
      </c>
      <c r="BN14" t="s">
        <v>73</v>
      </c>
      <c r="BO14" t="s">
        <v>73</v>
      </c>
      <c r="BP14" t="s">
        <v>73</v>
      </c>
      <c r="BQ14" t="s">
        <v>73</v>
      </c>
      <c r="BS14" t="s">
        <v>75</v>
      </c>
      <c r="BT14" t="s">
        <v>376</v>
      </c>
      <c r="BU14" t="s">
        <v>377</v>
      </c>
      <c r="BV14" t="s">
        <v>378</v>
      </c>
      <c r="BW14" s="1">
        <v>12</v>
      </c>
      <c r="BX14" s="33"/>
      <c r="BY14" s="33"/>
      <c r="BZ14" s="33"/>
      <c r="CB14"/>
      <c r="CC14"/>
      <c r="CD14"/>
      <c r="CE14"/>
      <c r="CF14"/>
      <c r="CG14"/>
      <c r="CH14"/>
      <c r="CI14"/>
      <c r="CJ14"/>
      <c r="CK14"/>
      <c r="CL14"/>
      <c r="CM14"/>
      <c r="CN14"/>
      <c r="CO14"/>
    </row>
    <row r="15" spans="1:94" ht="16" x14ac:dyDescent="0.2">
      <c r="A15" s="5" t="s">
        <v>167</v>
      </c>
      <c r="B15" s="5" t="s">
        <v>262</v>
      </c>
      <c r="C15" s="89" t="s">
        <v>263</v>
      </c>
      <c r="D15" s="89" t="s">
        <v>73</v>
      </c>
      <c r="E15" s="5" t="s">
        <v>72</v>
      </c>
      <c r="F15" s="5" t="s">
        <v>72</v>
      </c>
      <c r="G15" s="5" t="s">
        <v>72</v>
      </c>
      <c r="H15" s="102" t="s">
        <v>74</v>
      </c>
      <c r="I15" s="5">
        <v>10</v>
      </c>
      <c r="L15" s="1">
        <v>3</v>
      </c>
      <c r="N15" s="5"/>
      <c r="O15" s="5"/>
      <c r="P15" s="5"/>
      <c r="Q15" s="5" t="s">
        <v>73</v>
      </c>
      <c r="R15" s="5" t="s">
        <v>73</v>
      </c>
      <c r="S15" s="5" t="s">
        <v>73</v>
      </c>
      <c r="T15" s="5"/>
      <c r="U15" s="5">
        <v>1</v>
      </c>
      <c r="V15" s="5">
        <v>1</v>
      </c>
      <c r="X15" s="90">
        <v>1</v>
      </c>
      <c r="Y15" s="90">
        <v>1</v>
      </c>
      <c r="Z15" s="5" t="s">
        <v>73</v>
      </c>
      <c r="AA15" s="5" t="s">
        <v>73</v>
      </c>
      <c r="AB15" s="1">
        <v>5</v>
      </c>
      <c r="AC15" s="5">
        <v>9</v>
      </c>
      <c r="AD15"/>
      <c r="AE15" s="5">
        <v>1</v>
      </c>
      <c r="AF15" s="5"/>
      <c r="AG15" s="5">
        <v>9</v>
      </c>
      <c r="AH15" s="5"/>
      <c r="AI15">
        <v>1</v>
      </c>
      <c r="AK15" s="5" t="s">
        <v>73</v>
      </c>
      <c r="AL15" s="5" t="s">
        <v>73</v>
      </c>
      <c r="AM15"/>
      <c r="AN15" s="5" t="s">
        <v>73</v>
      </c>
      <c r="AO15"/>
      <c r="AP15" s="5" t="s">
        <v>73</v>
      </c>
      <c r="AQ15"/>
      <c r="AR15" s="5" t="s">
        <v>73</v>
      </c>
      <c r="AT15" t="s">
        <v>73</v>
      </c>
      <c r="AW15" s="1">
        <v>70</v>
      </c>
      <c r="AX15" s="1">
        <v>26</v>
      </c>
      <c r="AY15" s="136" t="s">
        <v>73</v>
      </c>
      <c r="AZ15" s="4" t="s">
        <v>73</v>
      </c>
      <c r="BA15" s="91" t="s">
        <v>73</v>
      </c>
      <c r="BB15">
        <v>1897</v>
      </c>
      <c r="BC15" s="101">
        <v>45648.873472222222</v>
      </c>
      <c r="BD15" s="85">
        <v>45648.831805555557</v>
      </c>
      <c r="BE15" t="s">
        <v>73</v>
      </c>
      <c r="BF15" t="s">
        <v>73</v>
      </c>
      <c r="BG15" t="s">
        <v>73</v>
      </c>
      <c r="BH15" t="s">
        <v>73</v>
      </c>
      <c r="BI15" t="s">
        <v>73</v>
      </c>
      <c r="BJ15" t="s">
        <v>73</v>
      </c>
      <c r="BL15" t="s">
        <v>73</v>
      </c>
      <c r="BM15" t="s">
        <v>73</v>
      </c>
      <c r="BN15" t="s">
        <v>73</v>
      </c>
      <c r="BO15" t="s">
        <v>73</v>
      </c>
      <c r="BP15" t="s">
        <v>73</v>
      </c>
      <c r="BQ15" t="s">
        <v>73</v>
      </c>
      <c r="BS15" t="s">
        <v>75</v>
      </c>
      <c r="BT15" t="s">
        <v>379</v>
      </c>
      <c r="BU15" t="s">
        <v>380</v>
      </c>
      <c r="BV15" t="s">
        <v>381</v>
      </c>
      <c r="BW15" s="1">
        <v>20</v>
      </c>
      <c r="BX15" s="33"/>
      <c r="BY15" s="33"/>
      <c r="BZ15" s="33"/>
      <c r="CB15"/>
      <c r="CC15"/>
      <c r="CD15"/>
      <c r="CE15"/>
      <c r="CF15"/>
      <c r="CG15"/>
      <c r="CH15"/>
      <c r="CI15"/>
      <c r="CJ15"/>
      <c r="CK15"/>
      <c r="CL15"/>
      <c r="CM15"/>
      <c r="CN15"/>
      <c r="CO15"/>
    </row>
    <row r="16" spans="1:94" ht="32" x14ac:dyDescent="0.2">
      <c r="A16" s="5" t="s">
        <v>167</v>
      </c>
      <c r="B16" s="5" t="s">
        <v>231</v>
      </c>
      <c r="C16" s="89" t="s">
        <v>232</v>
      </c>
      <c r="D16" s="89" t="s">
        <v>73</v>
      </c>
      <c r="E16" s="5" t="s">
        <v>72</v>
      </c>
      <c r="F16" s="5" t="s">
        <v>72</v>
      </c>
      <c r="G16" s="5" t="s">
        <v>73</v>
      </c>
      <c r="H16" s="102"/>
      <c r="I16" s="5">
        <v>10</v>
      </c>
      <c r="N16" s="5"/>
      <c r="O16" s="5"/>
      <c r="P16" s="5"/>
      <c r="Q16" s="5" t="s">
        <v>73</v>
      </c>
      <c r="R16" s="5" t="s">
        <v>73</v>
      </c>
      <c r="S16" s="5" t="s">
        <v>73</v>
      </c>
      <c r="T16" s="5"/>
      <c r="U16" s="5"/>
      <c r="V16" s="5"/>
      <c r="X16" s="90"/>
      <c r="Y16" s="90"/>
      <c r="Z16" s="5" t="s">
        <v>73</v>
      </c>
      <c r="AA16" s="5" t="s">
        <v>73</v>
      </c>
      <c r="AC16" s="5">
        <v>5</v>
      </c>
      <c r="AD16"/>
      <c r="AE16" s="5"/>
      <c r="AF16" s="5"/>
      <c r="AG16" s="5">
        <v>5</v>
      </c>
      <c r="AH16" s="5"/>
      <c r="AI16"/>
      <c r="AK16" s="5" t="s">
        <v>73</v>
      </c>
      <c r="AL16" s="5" t="s">
        <v>73</v>
      </c>
      <c r="AM16"/>
      <c r="AN16" s="5" t="s">
        <v>73</v>
      </c>
      <c r="AO16"/>
      <c r="AP16" s="5" t="s">
        <v>73</v>
      </c>
      <c r="AQ16"/>
      <c r="AR16" s="5" t="s">
        <v>73</v>
      </c>
      <c r="AT16" t="s">
        <v>73</v>
      </c>
      <c r="AW16" s="1">
        <v>70</v>
      </c>
      <c r="AX16" s="1">
        <v>5</v>
      </c>
      <c r="AY16" s="136" t="s">
        <v>72</v>
      </c>
      <c r="AZ16" s="4" t="s">
        <v>73</v>
      </c>
      <c r="BA16" s="91" t="s">
        <v>233</v>
      </c>
      <c r="BB16">
        <v>1872</v>
      </c>
      <c r="BC16" s="101">
        <v>45645.466805555552</v>
      </c>
      <c r="BD16" s="85">
        <v>45645.425138888888</v>
      </c>
      <c r="BE16" t="s">
        <v>73</v>
      </c>
      <c r="BF16" t="s">
        <v>73</v>
      </c>
      <c r="BG16" t="s">
        <v>73</v>
      </c>
      <c r="BH16" t="s">
        <v>73</v>
      </c>
      <c r="BI16" t="s">
        <v>73</v>
      </c>
      <c r="BJ16" t="s">
        <v>73</v>
      </c>
      <c r="BL16" t="s">
        <v>73</v>
      </c>
      <c r="BM16" t="s">
        <v>73</v>
      </c>
      <c r="BN16" t="s">
        <v>73</v>
      </c>
      <c r="BO16" t="s">
        <v>73</v>
      </c>
      <c r="BP16" t="s">
        <v>73</v>
      </c>
      <c r="BQ16" t="s">
        <v>73</v>
      </c>
      <c r="BS16" t="s">
        <v>73</v>
      </c>
      <c r="BT16" t="s">
        <v>369</v>
      </c>
      <c r="BU16" t="s">
        <v>369</v>
      </c>
      <c r="BV16" t="s">
        <v>369</v>
      </c>
      <c r="BX16" s="33"/>
      <c r="BY16" s="33"/>
      <c r="BZ16" s="33"/>
      <c r="CB16"/>
      <c r="CC16"/>
      <c r="CD16"/>
      <c r="CE16"/>
      <c r="CF16"/>
      <c r="CG16"/>
      <c r="CH16"/>
      <c r="CI16"/>
      <c r="CJ16"/>
      <c r="CK16"/>
      <c r="CL16"/>
      <c r="CM16"/>
      <c r="CN16"/>
      <c r="CO16"/>
    </row>
    <row r="17" spans="1:93" ht="16" x14ac:dyDescent="0.2">
      <c r="A17" s="5" t="s">
        <v>167</v>
      </c>
      <c r="B17" s="5" t="s">
        <v>203</v>
      </c>
      <c r="C17" s="89" t="s">
        <v>204</v>
      </c>
      <c r="D17" s="89" t="s">
        <v>73</v>
      </c>
      <c r="E17" s="5" t="s">
        <v>72</v>
      </c>
      <c r="F17" s="5" t="s">
        <v>73</v>
      </c>
      <c r="G17" s="5" t="s">
        <v>73</v>
      </c>
      <c r="H17" s="102"/>
      <c r="I17" s="5"/>
      <c r="N17" s="5"/>
      <c r="O17" s="5"/>
      <c r="P17" s="5"/>
      <c r="Q17" s="5" t="s">
        <v>73</v>
      </c>
      <c r="R17" s="5" t="s">
        <v>73</v>
      </c>
      <c r="S17" s="5" t="s">
        <v>73</v>
      </c>
      <c r="T17" s="5"/>
      <c r="U17" s="5"/>
      <c r="V17" s="5"/>
      <c r="X17" s="90"/>
      <c r="Y17" s="90"/>
      <c r="Z17" s="5" t="s">
        <v>73</v>
      </c>
      <c r="AA17" s="5" t="s">
        <v>73</v>
      </c>
      <c r="AC17" s="5"/>
      <c r="AD17"/>
      <c r="AE17" s="5"/>
      <c r="AF17" s="5"/>
      <c r="AG17" s="5"/>
      <c r="AH17" s="5"/>
      <c r="AI17"/>
      <c r="AK17" s="5" t="s">
        <v>73</v>
      </c>
      <c r="AL17" s="5" t="s">
        <v>73</v>
      </c>
      <c r="AM17"/>
      <c r="AN17" s="5" t="s">
        <v>73</v>
      </c>
      <c r="AO17"/>
      <c r="AP17" s="5" t="s">
        <v>73</v>
      </c>
      <c r="AQ17"/>
      <c r="AR17" s="5" t="s">
        <v>73</v>
      </c>
      <c r="AT17" t="s">
        <v>73</v>
      </c>
      <c r="AW17" s="1">
        <v>55</v>
      </c>
      <c r="AX17" s="1">
        <v>2</v>
      </c>
      <c r="AY17" s="136" t="s">
        <v>72</v>
      </c>
      <c r="AZ17" s="4" t="s">
        <v>73</v>
      </c>
      <c r="BA17" s="91" t="s">
        <v>73</v>
      </c>
      <c r="BB17">
        <v>1842</v>
      </c>
      <c r="BC17" s="101">
        <v>45642.662719907406</v>
      </c>
      <c r="BD17" s="85">
        <v>45642.621053240742</v>
      </c>
      <c r="BE17" t="s">
        <v>73</v>
      </c>
      <c r="BF17" t="s">
        <v>73</v>
      </c>
      <c r="BG17" t="s">
        <v>73</v>
      </c>
      <c r="BH17" t="s">
        <v>73</v>
      </c>
      <c r="BI17" t="s">
        <v>73</v>
      </c>
      <c r="BJ17" t="s">
        <v>73</v>
      </c>
      <c r="BL17" t="s">
        <v>73</v>
      </c>
      <c r="BM17" t="s">
        <v>73</v>
      </c>
      <c r="BN17" t="s">
        <v>73</v>
      </c>
      <c r="BO17" t="s">
        <v>73</v>
      </c>
      <c r="BP17" t="s">
        <v>73</v>
      </c>
      <c r="BQ17" t="s">
        <v>73</v>
      </c>
      <c r="BS17" t="s">
        <v>73</v>
      </c>
      <c r="BT17" t="s">
        <v>369</v>
      </c>
      <c r="BU17" t="s">
        <v>369</v>
      </c>
      <c r="BV17" t="s">
        <v>369</v>
      </c>
      <c r="BX17" s="33"/>
      <c r="BY17" s="33"/>
      <c r="BZ17" s="33"/>
      <c r="CB17"/>
      <c r="CC17"/>
      <c r="CD17"/>
      <c r="CE17"/>
      <c r="CF17"/>
      <c r="CG17"/>
      <c r="CH17"/>
      <c r="CI17"/>
      <c r="CJ17"/>
      <c r="CK17"/>
      <c r="CL17"/>
      <c r="CM17"/>
      <c r="CN17"/>
      <c r="CO17"/>
    </row>
    <row r="18" spans="1:93" ht="16" x14ac:dyDescent="0.2">
      <c r="A18" s="5" t="s">
        <v>167</v>
      </c>
      <c r="B18" s="5" t="s">
        <v>153</v>
      </c>
      <c r="C18" s="89" t="s">
        <v>154</v>
      </c>
      <c r="D18" s="89" t="s">
        <v>73</v>
      </c>
      <c r="E18" s="5" t="s">
        <v>72</v>
      </c>
      <c r="F18" s="5" t="s">
        <v>72</v>
      </c>
      <c r="G18" s="5" t="s">
        <v>73</v>
      </c>
      <c r="H18" s="102"/>
      <c r="I18" s="5">
        <v>14</v>
      </c>
      <c r="N18" s="5">
        <v>6</v>
      </c>
      <c r="O18" s="5"/>
      <c r="P18" s="5"/>
      <c r="Q18" s="5" t="s">
        <v>73</v>
      </c>
      <c r="R18" s="5" t="s">
        <v>73</v>
      </c>
      <c r="S18" s="5" t="s">
        <v>73</v>
      </c>
      <c r="T18" s="5">
        <v>5</v>
      </c>
      <c r="U18" s="5"/>
      <c r="V18" s="5"/>
      <c r="W18" s="1">
        <v>5</v>
      </c>
      <c r="X18" s="90"/>
      <c r="Y18" s="90"/>
      <c r="Z18" s="5" t="s">
        <v>73</v>
      </c>
      <c r="AA18" s="5" t="s">
        <v>73</v>
      </c>
      <c r="AC18" s="5">
        <v>5</v>
      </c>
      <c r="AD18"/>
      <c r="AE18" s="5"/>
      <c r="AF18" s="5"/>
      <c r="AG18" s="5">
        <v>5</v>
      </c>
      <c r="AH18" s="5"/>
      <c r="AI18"/>
      <c r="AK18" s="5" t="s">
        <v>73</v>
      </c>
      <c r="AL18" s="5" t="s">
        <v>73</v>
      </c>
      <c r="AM18"/>
      <c r="AN18" s="5" t="s">
        <v>73</v>
      </c>
      <c r="AO18"/>
      <c r="AP18" s="5" t="s">
        <v>73</v>
      </c>
      <c r="AQ18"/>
      <c r="AR18" s="5" t="s">
        <v>73</v>
      </c>
      <c r="AT18" t="s">
        <v>73</v>
      </c>
      <c r="AW18" s="1">
        <v>50</v>
      </c>
      <c r="AX18" s="1">
        <v>10</v>
      </c>
      <c r="AY18" s="136" t="s">
        <v>72</v>
      </c>
      <c r="AZ18" s="4" t="s">
        <v>73</v>
      </c>
      <c r="BA18" s="91" t="s">
        <v>73</v>
      </c>
      <c r="BB18">
        <v>1837</v>
      </c>
      <c r="BC18" s="101">
        <v>45641.532141203701</v>
      </c>
      <c r="BD18" s="85">
        <v>45641.490474537037</v>
      </c>
      <c r="BE18" t="s">
        <v>73</v>
      </c>
      <c r="BF18" t="s">
        <v>73</v>
      </c>
      <c r="BG18" t="s">
        <v>73</v>
      </c>
      <c r="BH18" t="s">
        <v>73</v>
      </c>
      <c r="BI18" t="s">
        <v>73</v>
      </c>
      <c r="BJ18" t="s">
        <v>73</v>
      </c>
      <c r="BL18" t="s">
        <v>73</v>
      </c>
      <c r="BM18" t="s">
        <v>73</v>
      </c>
      <c r="BN18" t="s">
        <v>73</v>
      </c>
      <c r="BO18" t="s">
        <v>73</v>
      </c>
      <c r="BP18" t="s">
        <v>73</v>
      </c>
      <c r="BQ18" t="s">
        <v>73</v>
      </c>
      <c r="BS18" t="s">
        <v>73</v>
      </c>
      <c r="BT18" t="s">
        <v>369</v>
      </c>
      <c r="BU18" t="s">
        <v>369</v>
      </c>
      <c r="BV18" t="s">
        <v>369</v>
      </c>
      <c r="BX18" s="33"/>
      <c r="BY18" s="33"/>
      <c r="BZ18" s="33"/>
      <c r="CB18"/>
      <c r="CC18"/>
      <c r="CD18"/>
      <c r="CE18"/>
      <c r="CF18"/>
      <c r="CG18"/>
      <c r="CH18"/>
      <c r="CI18"/>
      <c r="CJ18"/>
      <c r="CK18"/>
      <c r="CL18"/>
      <c r="CM18"/>
      <c r="CN18"/>
      <c r="CO18"/>
    </row>
    <row r="19" spans="1:93" ht="16" x14ac:dyDescent="0.2">
      <c r="A19" s="5" t="s">
        <v>167</v>
      </c>
      <c r="B19" s="5" t="s">
        <v>186</v>
      </c>
      <c r="C19" s="89" t="s">
        <v>187</v>
      </c>
      <c r="D19" s="89" t="s">
        <v>73</v>
      </c>
      <c r="E19" s="5" t="s">
        <v>72</v>
      </c>
      <c r="F19" s="5" t="s">
        <v>73</v>
      </c>
      <c r="G19" s="5" t="s">
        <v>72</v>
      </c>
      <c r="H19" s="102" t="s">
        <v>74</v>
      </c>
      <c r="I19" s="5">
        <v>7</v>
      </c>
      <c r="N19" s="5"/>
      <c r="O19" s="5"/>
      <c r="P19" s="5"/>
      <c r="Q19" s="5" t="s">
        <v>73</v>
      </c>
      <c r="R19" s="5" t="s">
        <v>73</v>
      </c>
      <c r="S19" s="5" t="s">
        <v>73</v>
      </c>
      <c r="T19" s="5"/>
      <c r="U19" s="5"/>
      <c r="V19" s="5"/>
      <c r="W19" s="1">
        <v>1</v>
      </c>
      <c r="X19" s="90"/>
      <c r="Y19" s="90"/>
      <c r="Z19" s="5" t="s">
        <v>73</v>
      </c>
      <c r="AA19" s="5" t="s">
        <v>73</v>
      </c>
      <c r="AB19" s="1">
        <v>4</v>
      </c>
      <c r="AC19" s="5">
        <v>5</v>
      </c>
      <c r="AD19"/>
      <c r="AE19" s="5"/>
      <c r="AF19" s="5"/>
      <c r="AG19" s="5">
        <v>4</v>
      </c>
      <c r="AH19" s="5"/>
      <c r="AI19"/>
      <c r="AK19" s="5" t="s">
        <v>73</v>
      </c>
      <c r="AL19" s="5" t="s">
        <v>73</v>
      </c>
      <c r="AM19"/>
      <c r="AN19" s="5" t="s">
        <v>73</v>
      </c>
      <c r="AO19"/>
      <c r="AP19" s="5" t="s">
        <v>73</v>
      </c>
      <c r="AQ19"/>
      <c r="AR19" s="5" t="s">
        <v>73</v>
      </c>
      <c r="AT19" t="s">
        <v>73</v>
      </c>
      <c r="AW19" s="1">
        <v>90</v>
      </c>
      <c r="AX19" s="1">
        <v>20</v>
      </c>
      <c r="AY19" s="136" t="s">
        <v>72</v>
      </c>
      <c r="AZ19" s="4" t="s">
        <v>73</v>
      </c>
      <c r="BA19" s="91" t="s">
        <v>73</v>
      </c>
      <c r="BB19">
        <v>1835</v>
      </c>
      <c r="BC19" s="101">
        <v>45639.889189814814</v>
      </c>
      <c r="BD19" s="85">
        <v>45639.84752314815</v>
      </c>
      <c r="BE19" t="s">
        <v>73</v>
      </c>
      <c r="BF19" t="s">
        <v>73</v>
      </c>
      <c r="BG19" t="s">
        <v>73</v>
      </c>
      <c r="BH19" t="s">
        <v>73</v>
      </c>
      <c r="BI19" t="s">
        <v>73</v>
      </c>
      <c r="BJ19" t="s">
        <v>73</v>
      </c>
      <c r="BL19" t="s">
        <v>73</v>
      </c>
      <c r="BM19" t="s">
        <v>73</v>
      </c>
      <c r="BN19" t="s">
        <v>73</v>
      </c>
      <c r="BO19" t="s">
        <v>73</v>
      </c>
      <c r="BP19" t="s">
        <v>73</v>
      </c>
      <c r="BQ19" t="s">
        <v>73</v>
      </c>
      <c r="BS19" t="s">
        <v>75</v>
      </c>
      <c r="BT19" t="s">
        <v>382</v>
      </c>
      <c r="BU19" t="s">
        <v>374</v>
      </c>
      <c r="BV19" t="s">
        <v>383</v>
      </c>
      <c r="BW19" s="1">
        <v>8</v>
      </c>
      <c r="BX19" s="33"/>
      <c r="BY19" s="33"/>
      <c r="BZ19" s="33"/>
      <c r="CA19" s="33"/>
      <c r="CD19"/>
      <c r="CE19"/>
      <c r="CF19"/>
      <c r="CG19"/>
      <c r="CH19"/>
      <c r="CI19"/>
      <c r="CJ19"/>
      <c r="CK19"/>
      <c r="CL19"/>
      <c r="CM19"/>
      <c r="CN19"/>
      <c r="CO19"/>
    </row>
    <row r="20" spans="1:93" ht="17" thickBot="1" x14ac:dyDescent="0.25">
      <c r="A20" s="5" t="s">
        <v>167</v>
      </c>
      <c r="B20" s="5" t="s">
        <v>172</v>
      </c>
      <c r="C20" s="89" t="s">
        <v>168</v>
      </c>
      <c r="D20" s="89" t="s">
        <v>73</v>
      </c>
      <c r="E20" s="5" t="s">
        <v>72</v>
      </c>
      <c r="F20" s="5" t="s">
        <v>72</v>
      </c>
      <c r="G20" s="5" t="s">
        <v>73</v>
      </c>
      <c r="H20" s="102" t="s">
        <v>72</v>
      </c>
      <c r="I20" s="5">
        <v>10</v>
      </c>
      <c r="J20" s="1">
        <v>3</v>
      </c>
      <c r="L20" s="1">
        <v>7</v>
      </c>
      <c r="N20" s="5"/>
      <c r="O20" s="5"/>
      <c r="P20" s="5"/>
      <c r="Q20" s="5" t="s">
        <v>73</v>
      </c>
      <c r="R20" s="5" t="s">
        <v>73</v>
      </c>
      <c r="S20" s="5" t="s">
        <v>73</v>
      </c>
      <c r="T20" s="5"/>
      <c r="U20" s="5"/>
      <c r="V20" s="5"/>
      <c r="X20" s="90"/>
      <c r="Y20" s="90"/>
      <c r="Z20" s="5" t="s">
        <v>73</v>
      </c>
      <c r="AA20" s="5" t="s">
        <v>73</v>
      </c>
      <c r="AB20" s="1">
        <v>1</v>
      </c>
      <c r="AC20" s="5">
        <v>11</v>
      </c>
      <c r="AD20"/>
      <c r="AE20" s="5"/>
      <c r="AF20" s="5">
        <v>4</v>
      </c>
      <c r="AG20" s="5">
        <v>11</v>
      </c>
      <c r="AH20" s="5"/>
      <c r="AI20"/>
      <c r="AJ20" s="1">
        <v>4</v>
      </c>
      <c r="AK20" s="5" t="s">
        <v>73</v>
      </c>
      <c r="AL20" s="5" t="s">
        <v>73</v>
      </c>
      <c r="AM20"/>
      <c r="AN20" s="5" t="s">
        <v>73</v>
      </c>
      <c r="AO20"/>
      <c r="AP20" s="5" t="s">
        <v>73</v>
      </c>
      <c r="AQ20"/>
      <c r="AR20" s="5" t="s">
        <v>73</v>
      </c>
      <c r="AT20" t="s">
        <v>73</v>
      </c>
      <c r="AW20" s="1">
        <v>105</v>
      </c>
      <c r="AX20" s="1">
        <v>26</v>
      </c>
      <c r="AY20" s="136" t="s">
        <v>73</v>
      </c>
      <c r="AZ20" s="4" t="s">
        <v>73</v>
      </c>
      <c r="BA20" s="91" t="s">
        <v>73</v>
      </c>
      <c r="BB20">
        <v>1832</v>
      </c>
      <c r="BC20" s="101">
        <v>45639.39634259259</v>
      </c>
      <c r="BD20" s="85">
        <v>45639.354675925926</v>
      </c>
      <c r="BE20" t="s">
        <v>73</v>
      </c>
      <c r="BF20" t="s">
        <v>73</v>
      </c>
      <c r="BG20" t="s">
        <v>73</v>
      </c>
      <c r="BH20" t="s">
        <v>73</v>
      </c>
      <c r="BI20" t="s">
        <v>73</v>
      </c>
      <c r="BJ20" t="s">
        <v>73</v>
      </c>
      <c r="BL20" t="s">
        <v>73</v>
      </c>
      <c r="BM20" t="s">
        <v>73</v>
      </c>
      <c r="BN20" t="s">
        <v>73</v>
      </c>
      <c r="BO20" t="s">
        <v>73</v>
      </c>
      <c r="BP20" t="s">
        <v>73</v>
      </c>
      <c r="BQ20" t="s">
        <v>73</v>
      </c>
      <c r="BS20" t="s">
        <v>169</v>
      </c>
      <c r="BT20" t="s">
        <v>384</v>
      </c>
      <c r="BU20" t="s">
        <v>385</v>
      </c>
      <c r="BV20" t="s">
        <v>386</v>
      </c>
      <c r="BW20" s="1">
        <v>16</v>
      </c>
      <c r="BX20" s="33"/>
      <c r="BY20" s="33"/>
      <c r="BZ20" s="33"/>
      <c r="CA20" s="33"/>
      <c r="CD20"/>
      <c r="CE20"/>
      <c r="CF20"/>
      <c r="CG20"/>
      <c r="CH20"/>
      <c r="CI20"/>
      <c r="CJ20"/>
      <c r="CK20"/>
      <c r="CL20"/>
      <c r="CM20"/>
      <c r="CN20"/>
      <c r="CO20"/>
    </row>
    <row r="21" spans="1:93" ht="16" thickTop="1" x14ac:dyDescent="0.2">
      <c r="A21" t="s">
        <v>79</v>
      </c>
      <c r="C21" s="125">
        <f>SUBTOTAL(103,KDM[Naam vereniging])</f>
        <v>13</v>
      </c>
      <c r="D21" s="1">
        <f>COUNTIF(KDM[Delegatie],"x")</f>
        <v>0</v>
      </c>
      <c r="E21" s="16">
        <f>COUNTIF(KDM[Muziekkorps bij mars en defilé],"x")</f>
        <v>12</v>
      </c>
      <c r="F21" s="16">
        <f>COUNTIF(KDM[Deeln. jeugdkoningschieten],"x")</f>
        <v>7</v>
      </c>
      <c r="G21" s="16">
        <f>COUNTIF(KDM[Maj. Senioren jureren bij mars],"x")</f>
        <v>4</v>
      </c>
      <c r="H21" s="16">
        <f>COUNTIF(KDM[Maj. Jeugd jureren bij mars],"x")</f>
        <v>2</v>
      </c>
      <c r="I21" s="1">
        <f>SUBTOTAL(103,KDM[Korps senioren])</f>
        <v>11</v>
      </c>
      <c r="J21" s="1">
        <f>SUBTOTAL(103,KDM[Junioren korps 1])</f>
        <v>4</v>
      </c>
      <c r="K21" s="1">
        <f>SUBTOTAL(103,KDM[Junioren korps 2])</f>
        <v>0</v>
      </c>
      <c r="L21" s="1">
        <f>SUBTOTAL(103,KDM[Aspiranten korps 1])</f>
        <v>3</v>
      </c>
      <c r="M21" s="1">
        <f>SUBTOTAL(103,KDM[Aspiranten korps 2])</f>
        <v>0</v>
      </c>
      <c r="N21" s="1">
        <f>SUBTOTAL(103,KDM[Acrobatisch senioren])</f>
        <v>1</v>
      </c>
      <c r="O21" s="1">
        <f>SUBTOTAL(103,KDM[Acrobatisch junioren])</f>
        <v>0</v>
      </c>
      <c r="P21" s="1">
        <f>SUBTOTAL(103,KDM[Acrobatisch aspiranten])</f>
        <v>0</v>
      </c>
      <c r="T21" s="79">
        <f>SUBTOTAL(109,KDM[Senioren indiv.])</f>
        <v>5</v>
      </c>
      <c r="U21" s="79">
        <f>SUBTOTAL(109,KDM[Junioren indiv.])</f>
        <v>1</v>
      </c>
      <c r="V21" s="1">
        <f>SUBTOTAL(109,KDM[Aspiranten indiv.])</f>
        <v>1</v>
      </c>
      <c r="W21" s="1">
        <f>SUBTOTAL(109,KDM[Sen. ind opgegeven namen])</f>
        <v>7</v>
      </c>
      <c r="X21" s="1">
        <f>SUBTOTAL(109,KDM[Jun. ind opgegeven namen])</f>
        <v>1</v>
      </c>
      <c r="Y21" s="1">
        <f>SUBTOTAL(109,KDM[Asp. ind opgegeven namen])</f>
        <v>1</v>
      </c>
      <c r="Z21" s="16">
        <f>COUNTIF(KDM[Hoofdkorps],"x")</f>
        <v>0</v>
      </c>
      <c r="AA21" s="117">
        <f>COUNTIF(KDM[2e korps],"x")</f>
        <v>0</v>
      </c>
      <c r="AB21" s="1">
        <f>SUBTOTAL(109,KDM[Groepen, teams, ensembles en duo''s])</f>
        <v>28</v>
      </c>
      <c r="AC21" s="1">
        <f>SUBTOTAL(109,KDM[Senioren])</f>
        <v>51</v>
      </c>
      <c r="AD21" s="1">
        <f>SUBTOTAL(109,KDM[Jong volwassene])</f>
        <v>5</v>
      </c>
      <c r="AE21" s="1">
        <f>SUBTOTAL(109,KDM[Junioren])</f>
        <v>3</v>
      </c>
      <c r="AF21" s="1">
        <f>SUBTOTAL(109,KDM[Aspiranten])</f>
        <v>9</v>
      </c>
      <c r="AG21" s="1">
        <f>SUBTOTAL(109,KDM[Opgegeven senioren])</f>
        <v>51</v>
      </c>
      <c r="AH21" s="1">
        <f>SUBTOTAL(109,KDM[Opgegeven jong volwassene])</f>
        <v>4</v>
      </c>
      <c r="AI21" s="1">
        <f>SUBTOTAL(109,KDM[Opgegeven junioren])</f>
        <v>3</v>
      </c>
      <c r="AJ21" s="1">
        <f>SUBTOTAL(109,KDM[Opgegeven aspiranten])</f>
        <v>9</v>
      </c>
      <c r="AK21" s="1">
        <f>COUNTIF(KDM[Marketentsters],"x")</f>
        <v>0</v>
      </c>
      <c r="AL21" s="1">
        <f>COUNTIF(KDM[Luchtgeweer],"x")</f>
        <v>0</v>
      </c>
      <c r="AM21" s="1">
        <f>SUBTOTAL(109,KDM[Aantal luchtgeweerschutters])</f>
        <v>0</v>
      </c>
      <c r="AN21" s="1">
        <f>COUNTIF(KDM[Luchtpistool],"x")</f>
        <v>0</v>
      </c>
      <c r="AO21" s="1">
        <f>SUBTOTAL(109,KDM[Aantal luchtpistoolschutters])</f>
        <v>0</v>
      </c>
      <c r="AP21" s="1">
        <f>COUNTIF(KDM[Handboog],"x")</f>
        <v>0</v>
      </c>
      <c r="AQ21" s="1">
        <f>SUBTOTAL(109,KDM[Aantal handboogschutters])</f>
        <v>0</v>
      </c>
      <c r="AR21" s="1">
        <f>COUNTIF(KDM[Kruisboog],"x")</f>
        <v>0</v>
      </c>
      <c r="AS21" s="1">
        <f>SUBTOTAL(109,KDM[Aantal kruisboogschutters])</f>
        <v>0</v>
      </c>
      <c r="AT21" s="1">
        <f>COUNTIF(KDM[Luchtgeweer jeugd niet ouder dan 17 jaar.],"x")</f>
        <v>0</v>
      </c>
      <c r="AU21" s="1">
        <f>SUBTOTAL(109,KDM[Aantal korpsen])</f>
        <v>0</v>
      </c>
      <c r="AV21" s="1">
        <f>SUBTOTAL(109,KDM[Opgegeven jeugdkorpsen LG])</f>
        <v>0</v>
      </c>
      <c r="AW21" s="1">
        <f>SUBTOTAL(109,KDM[Totaal aantal deelnemers])</f>
        <v>887</v>
      </c>
      <c r="AX21" s="1">
        <f>SUBTOTAL(109,KDM[Waarvan aantal jeugd (t/m 15 jaar)])</f>
        <v>194</v>
      </c>
      <c r="AY21" s="1">
        <f>COUNTIF(KDM[Kanon etc.],"x")</f>
        <v>7</v>
      </c>
      <c r="AZ21" s="1">
        <f>COUNTIF(KDM[Paarden en/of koetsen],"x")</f>
        <v>2</v>
      </c>
      <c r="BA21" s="63"/>
      <c r="BB21" s="1"/>
      <c r="BC21" s="1"/>
      <c r="BD21" s="1"/>
      <c r="BE21" s="1"/>
      <c r="BF21" s="1"/>
      <c r="BG21" s="1"/>
      <c r="BH21" s="1"/>
      <c r="BI21" s="1"/>
      <c r="BJ21" s="1"/>
      <c r="BK21" s="1"/>
      <c r="BL21" s="1"/>
      <c r="BM21" s="1"/>
      <c r="BN21" s="1"/>
      <c r="BO21" s="1"/>
      <c r="BP21" s="1"/>
      <c r="BQ21" s="1"/>
      <c r="BR21" s="1"/>
      <c r="BS21" s="1"/>
      <c r="BT21" s="1"/>
      <c r="BU21" s="1"/>
      <c r="BV21" s="1"/>
      <c r="BW21" s="1">
        <f>SUBTOTAL(109,KDM[Aantal opgegeven majorettes])</f>
        <v>92</v>
      </c>
      <c r="BX21" s="33"/>
      <c r="BY21" s="33"/>
      <c r="BZ21" s="33"/>
      <c r="CA21" s="33"/>
      <c r="CD21"/>
      <c r="CE21"/>
      <c r="CF21"/>
      <c r="CG21"/>
      <c r="CH21"/>
      <c r="CI21"/>
      <c r="CJ21"/>
      <c r="CK21"/>
      <c r="CL21"/>
      <c r="CM21"/>
      <c r="CN21"/>
      <c r="CO21"/>
    </row>
    <row r="22" spans="1:93" x14ac:dyDescent="0.2">
      <c r="BX22" s="33"/>
      <c r="BY22" s="33"/>
      <c r="BZ22" s="33"/>
      <c r="CA22" s="33"/>
      <c r="CD22"/>
      <c r="CE22"/>
      <c r="CF22"/>
      <c r="CG22"/>
      <c r="CH22"/>
      <c r="CI22"/>
      <c r="CJ22"/>
      <c r="CK22"/>
      <c r="CL22"/>
      <c r="CM22"/>
      <c r="CN22"/>
      <c r="CO22"/>
    </row>
    <row r="23" spans="1:93" x14ac:dyDescent="0.2">
      <c r="C23" s="124"/>
      <c r="BX23" s="33"/>
      <c r="BY23" s="33"/>
      <c r="BZ23" s="33"/>
      <c r="CA23" s="33"/>
      <c r="CD23"/>
      <c r="CE23"/>
      <c r="CF23"/>
      <c r="CG23"/>
      <c r="CH23"/>
      <c r="CI23"/>
      <c r="CJ23"/>
      <c r="CK23"/>
      <c r="CL23"/>
      <c r="CM23"/>
      <c r="CN23"/>
      <c r="CO23"/>
    </row>
  </sheetData>
  <mergeCells count="15">
    <mergeCell ref="BS3:BW3"/>
    <mergeCell ref="BS4:BW4"/>
    <mergeCell ref="AW3:BD3"/>
    <mergeCell ref="A1:CC1"/>
    <mergeCell ref="A2:CC2"/>
    <mergeCell ref="D3:H3"/>
    <mergeCell ref="AL3:AV3"/>
    <mergeCell ref="N4:P4"/>
    <mergeCell ref="Q4:S4"/>
    <mergeCell ref="T4:Y4"/>
    <mergeCell ref="Z3:AA3"/>
    <mergeCell ref="I3:Y3"/>
    <mergeCell ref="BL4:BR4"/>
    <mergeCell ref="BE3:BR3"/>
    <mergeCell ref="BE4:BK4"/>
  </mergeCells>
  <phoneticPr fontId="2" type="noConversion"/>
  <conditionalFormatting sqref="W7:W20">
    <cfRule type="expression" dxfId="41" priority="6">
      <formula>$T7-$W7&lt;&gt;0</formula>
    </cfRule>
  </conditionalFormatting>
  <conditionalFormatting sqref="X7:X20">
    <cfRule type="expression" dxfId="40" priority="7">
      <formula>$U7-$X7&lt;&gt;0</formula>
    </cfRule>
  </conditionalFormatting>
  <conditionalFormatting sqref="Y7:Y20">
    <cfRule type="expression" dxfId="39" priority="19">
      <formula>$V7-$Y7&lt;&gt;0</formula>
    </cfRule>
  </conditionalFormatting>
  <conditionalFormatting sqref="AG7:AG20">
    <cfRule type="expression" dxfId="38" priority="4">
      <formula>$AC7-$AG7&lt;&gt;0</formula>
    </cfRule>
  </conditionalFormatting>
  <conditionalFormatting sqref="AH7:AH20">
    <cfRule type="expression" dxfId="37" priority="3">
      <formula>$AD7-$AH7&lt;&gt;0</formula>
    </cfRule>
  </conditionalFormatting>
  <conditionalFormatting sqref="AI7:AI20">
    <cfRule type="expression" dxfId="36" priority="2">
      <formula>$AE7-$AI7&lt;&gt;0</formula>
    </cfRule>
  </conditionalFormatting>
  <conditionalFormatting sqref="AJ7:AJ20">
    <cfRule type="expression" dxfId="35" priority="1">
      <formula>$AF7-$AJ7&lt;&gt;0</formula>
    </cfRule>
  </conditionalFormatting>
  <pageMargins left="0.7" right="0.7" top="0.75" bottom="0.75" header="0.3" footer="0.3"/>
  <pageSetup orientation="portrait" horizont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4BBF9-126C-4F7E-AE91-412B5FD3E7A6}">
  <dimension ref="A1:CM27"/>
  <sheetViews>
    <sheetView zoomScale="110" zoomScaleNormal="110" workbookViewId="0">
      <pane xSplit="3" ySplit="6" topLeftCell="X26" activePane="bottomRight" state="frozen"/>
      <selection pane="topRight" activeCell="D1" sqref="D1"/>
      <selection pane="bottomLeft" activeCell="A7" sqref="A7"/>
      <selection pane="bottomRight" activeCell="A30" sqref="A30:XFD43"/>
    </sheetView>
  </sheetViews>
  <sheetFormatPr baseColWidth="10" defaultColWidth="9.1640625" defaultRowHeight="15" x14ac:dyDescent="0.2"/>
  <cols>
    <col min="1" max="1" width="10.33203125" bestFit="1" customWidth="1"/>
    <col min="2" max="2" width="8.6640625" bestFit="1" customWidth="1"/>
    <col min="3" max="3" width="58.83203125" bestFit="1" customWidth="1"/>
    <col min="4" max="4" width="3.5" style="1" bestFit="1" customWidth="1"/>
    <col min="5" max="16" width="8.5" style="1" bestFit="1" customWidth="1"/>
    <col min="17" max="19" width="7.6640625" style="1" hidden="1" customWidth="1"/>
    <col min="20" max="25" width="8.5" style="1" bestFit="1" customWidth="1"/>
    <col min="26" max="26" width="8.5" style="1" hidden="1" customWidth="1"/>
    <col min="27" max="27" width="7.6640625" style="1" hidden="1" customWidth="1"/>
    <col min="28" max="28" width="8.5" style="1" hidden="1" customWidth="1"/>
    <col min="29" max="32" width="8.5" style="1" bestFit="1" customWidth="1"/>
    <col min="33" max="36" width="3.5" style="1" bestFit="1" customWidth="1"/>
    <col min="37" max="38" width="8.5" style="1" bestFit="1" customWidth="1"/>
    <col min="39" max="39" width="3.5" style="1" bestFit="1" customWidth="1"/>
    <col min="40" max="40" width="8.5" style="1" bestFit="1" customWidth="1"/>
    <col min="41" max="41" width="3.5" style="1" bestFit="1" customWidth="1"/>
    <col min="42" max="42" width="8.5" style="1" bestFit="1" customWidth="1"/>
    <col min="43" max="43" width="3.5" style="1" bestFit="1" customWidth="1"/>
    <col min="44" max="44" width="8.5" style="61" bestFit="1" customWidth="1"/>
    <col min="45" max="45" width="3.5" bestFit="1" customWidth="1"/>
    <col min="46" max="47" width="8.5" bestFit="1" customWidth="1"/>
    <col min="48" max="48" width="3.5" bestFit="1" customWidth="1"/>
    <col min="49" max="49" width="8.5" style="63" bestFit="1" customWidth="1"/>
    <col min="50" max="52" width="8.5" style="1" bestFit="1" customWidth="1"/>
    <col min="53" max="53" width="30.1640625" bestFit="1" customWidth="1"/>
    <col min="54" max="54" width="8.5" bestFit="1" customWidth="1"/>
    <col min="55" max="56" width="15" bestFit="1" customWidth="1"/>
    <col min="57" max="63" width="8.5" hidden="1" customWidth="1"/>
    <col min="64" max="70" width="8.33203125" hidden="1" customWidth="1"/>
    <col min="71" max="75" width="8.5" hidden="1" customWidth="1"/>
    <col min="76" max="77" width="8.33203125" style="1" customWidth="1"/>
    <col min="78" max="78" width="7.6640625" style="1" bestFit="1" customWidth="1"/>
    <col min="79" max="79" width="10.1640625" style="1" bestFit="1" customWidth="1"/>
    <col min="80" max="80" width="33" style="1" bestFit="1" customWidth="1"/>
    <col min="81" max="82" width="7.6640625" style="1" bestFit="1" customWidth="1"/>
    <col min="83" max="83" width="45.83203125" style="1" bestFit="1" customWidth="1"/>
    <col min="84" max="84" width="10.1640625" style="1" bestFit="1" customWidth="1"/>
    <col min="85" max="87" width="6.83203125" style="1" bestFit="1" customWidth="1"/>
    <col min="88" max="88" width="21.33203125" style="1" bestFit="1" customWidth="1"/>
    <col min="89" max="89" width="15.83203125" style="1" bestFit="1" customWidth="1"/>
    <col min="90" max="91" width="9.33203125" bestFit="1" customWidth="1"/>
  </cols>
  <sheetData>
    <row r="1" spans="1:91" ht="27" customHeight="1" thickBot="1" x14ac:dyDescent="0.25">
      <c r="A1" s="151" t="s">
        <v>81</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152"/>
      <c r="BU1" s="152"/>
      <c r="BV1" s="152"/>
      <c r="BW1" s="152"/>
      <c r="BX1" s="72"/>
      <c r="BY1" s="72"/>
      <c r="BZ1" s="72"/>
      <c r="CA1" s="72"/>
      <c r="CB1" s="72"/>
      <c r="CC1" s="72"/>
      <c r="CD1" s="72"/>
      <c r="CE1" s="72"/>
      <c r="CF1" s="72"/>
      <c r="CG1" s="72"/>
      <c r="CH1" s="72"/>
      <c r="CI1" s="72"/>
      <c r="CJ1" s="72"/>
      <c r="CK1" s="72"/>
    </row>
    <row r="2" spans="1:91" ht="20" thickBot="1" x14ac:dyDescent="0.3">
      <c r="A2" s="149" t="s">
        <v>139</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73"/>
      <c r="BY2" s="73"/>
      <c r="BZ2" s="73"/>
      <c r="CA2" s="73"/>
      <c r="CB2" s="73"/>
      <c r="CC2" s="73"/>
      <c r="CD2" s="73"/>
      <c r="CE2" s="73"/>
      <c r="CF2" s="73"/>
      <c r="CG2" s="73"/>
      <c r="CH2" s="73"/>
      <c r="CI2" s="73"/>
      <c r="CJ2" s="73"/>
      <c r="CK2" s="73"/>
    </row>
    <row r="3" spans="1:91" ht="16" thickBot="1" x14ac:dyDescent="0.25">
      <c r="A3" s="20"/>
      <c r="B3" s="21"/>
      <c r="C3" s="22"/>
      <c r="D3" s="139" t="s">
        <v>1</v>
      </c>
      <c r="E3" s="140"/>
      <c r="F3" s="140"/>
      <c r="G3" s="140"/>
      <c r="H3" s="141"/>
      <c r="I3" s="142" t="s">
        <v>2</v>
      </c>
      <c r="J3" s="143"/>
      <c r="K3" s="143"/>
      <c r="L3" s="143"/>
      <c r="M3" s="143"/>
      <c r="N3" s="143"/>
      <c r="O3" s="143"/>
      <c r="P3" s="143"/>
      <c r="Q3" s="143"/>
      <c r="R3" s="143"/>
      <c r="S3" s="143"/>
      <c r="T3" s="143"/>
      <c r="U3" s="143"/>
      <c r="V3" s="143"/>
      <c r="W3" s="143"/>
      <c r="X3" s="143"/>
      <c r="Y3" s="144"/>
      <c r="Z3" s="139" t="s">
        <v>3</v>
      </c>
      <c r="AA3" s="141"/>
      <c r="AB3" s="26" t="s">
        <v>4</v>
      </c>
      <c r="AC3" s="110" t="s">
        <v>5</v>
      </c>
      <c r="AD3" s="94"/>
      <c r="AE3" s="94"/>
      <c r="AF3" s="94"/>
      <c r="AG3" s="94"/>
      <c r="AH3" s="94"/>
      <c r="AI3" s="94"/>
      <c r="AJ3" s="95"/>
      <c r="AK3" s="26" t="s">
        <v>6</v>
      </c>
      <c r="AL3" s="139" t="s">
        <v>7</v>
      </c>
      <c r="AM3" s="140"/>
      <c r="AN3" s="140"/>
      <c r="AO3" s="140"/>
      <c r="AP3" s="140"/>
      <c r="AQ3" s="140"/>
      <c r="AR3" s="140"/>
      <c r="AS3" s="140"/>
      <c r="AT3" s="140"/>
      <c r="AU3" s="140"/>
      <c r="AV3" s="141"/>
      <c r="AW3" s="139" t="s">
        <v>8</v>
      </c>
      <c r="AX3" s="140"/>
      <c r="AY3" s="140"/>
      <c r="AZ3" s="140"/>
      <c r="BA3" s="140"/>
      <c r="BB3" s="140"/>
      <c r="BC3" s="140"/>
      <c r="BD3" s="141"/>
      <c r="BE3" s="142" t="s">
        <v>9</v>
      </c>
      <c r="BF3" s="143"/>
      <c r="BG3" s="143"/>
      <c r="BH3" s="143"/>
      <c r="BI3" s="143"/>
      <c r="BJ3" s="143"/>
      <c r="BK3" s="143"/>
      <c r="BL3" s="143"/>
      <c r="BM3" s="143"/>
      <c r="BN3" s="143"/>
      <c r="BO3" s="143"/>
      <c r="BP3" s="143"/>
      <c r="BQ3" s="143"/>
      <c r="BR3" s="143"/>
      <c r="BS3" s="145" t="s">
        <v>10</v>
      </c>
      <c r="BT3" s="146"/>
      <c r="BU3" s="146"/>
      <c r="BV3" s="146"/>
      <c r="BW3" s="147"/>
      <c r="BX3" s="34"/>
      <c r="BY3" s="34"/>
      <c r="BZ3" s="34"/>
      <c r="CA3" s="34"/>
      <c r="CB3" s="34"/>
      <c r="CC3" s="34"/>
      <c r="CD3"/>
      <c r="CE3"/>
      <c r="CF3"/>
      <c r="CG3"/>
      <c r="CH3"/>
      <c r="CI3"/>
      <c r="CJ3"/>
      <c r="CK3"/>
    </row>
    <row r="4" spans="1:91" ht="16" thickBot="1" x14ac:dyDescent="0.25">
      <c r="A4" s="23"/>
      <c r="B4" s="24"/>
      <c r="C4" s="25"/>
      <c r="D4" s="23"/>
      <c r="E4" s="24"/>
      <c r="F4" s="24"/>
      <c r="G4" s="24"/>
      <c r="H4" s="25"/>
      <c r="I4" s="86" t="s">
        <v>11</v>
      </c>
      <c r="J4" s="87"/>
      <c r="K4" s="87"/>
      <c r="L4" s="87"/>
      <c r="M4" s="88"/>
      <c r="N4" s="142" t="s">
        <v>88</v>
      </c>
      <c r="O4" s="143"/>
      <c r="P4" s="144"/>
      <c r="Q4" s="142" t="s">
        <v>13</v>
      </c>
      <c r="R4" s="143"/>
      <c r="S4" s="144"/>
      <c r="T4" s="142" t="s">
        <v>14</v>
      </c>
      <c r="U4" s="143"/>
      <c r="V4" s="143"/>
      <c r="W4" s="143"/>
      <c r="X4" s="143"/>
      <c r="Y4" s="144"/>
      <c r="Z4" s="23"/>
      <c r="AA4" s="25"/>
      <c r="AB4" s="27"/>
      <c r="AC4" s="23"/>
      <c r="AD4" s="24"/>
      <c r="AE4" s="24"/>
      <c r="AF4" s="24"/>
      <c r="AG4" s="24"/>
      <c r="AH4" s="24"/>
      <c r="AI4" s="24"/>
      <c r="AJ4" s="25"/>
      <c r="AK4" s="27"/>
      <c r="AL4" s="23"/>
      <c r="AM4" s="24"/>
      <c r="AN4" s="24"/>
      <c r="AO4" s="24"/>
      <c r="AP4" s="24"/>
      <c r="AQ4" s="24"/>
      <c r="AR4" s="24"/>
      <c r="AS4" s="24"/>
      <c r="AT4" s="24"/>
      <c r="AU4" s="24"/>
      <c r="AV4" s="25"/>
      <c r="AW4" s="23"/>
      <c r="AX4" s="24"/>
      <c r="AY4" s="24"/>
      <c r="AZ4" s="24"/>
      <c r="BA4" s="62"/>
      <c r="BB4" s="24"/>
      <c r="BC4" s="24"/>
      <c r="BD4" s="25"/>
      <c r="BE4" s="142" t="s">
        <v>15</v>
      </c>
      <c r="BF4" s="143"/>
      <c r="BG4" s="143"/>
      <c r="BH4" s="143"/>
      <c r="BI4" s="143"/>
      <c r="BJ4" s="143"/>
      <c r="BK4" s="144"/>
      <c r="BL4" s="142" t="s">
        <v>16</v>
      </c>
      <c r="BM4" s="143"/>
      <c r="BN4" s="143"/>
      <c r="BO4" s="143"/>
      <c r="BP4" s="143"/>
      <c r="BQ4" s="143"/>
      <c r="BR4" s="144"/>
      <c r="BS4" s="119"/>
      <c r="BT4" s="97"/>
      <c r="BU4" s="97"/>
      <c r="BV4" s="97"/>
      <c r="BW4" s="98"/>
      <c r="BX4" s="80"/>
      <c r="BY4" s="80"/>
      <c r="BZ4" s="34"/>
      <c r="CA4" s="34"/>
      <c r="CB4" s="34"/>
      <c r="CC4" s="34"/>
      <c r="CD4" s="34"/>
      <c r="CE4" s="34"/>
      <c r="CF4"/>
      <c r="CG4"/>
      <c r="CH4"/>
      <c r="CI4"/>
      <c r="CJ4"/>
      <c r="CK4"/>
    </row>
    <row r="5" spans="1:91" ht="6.75" hidden="1" customHeight="1" thickBot="1" x14ac:dyDescent="0.25">
      <c r="AR5" s="63"/>
      <c r="AS5" s="1"/>
      <c r="AT5" s="1"/>
      <c r="AU5" s="1"/>
      <c r="AV5" s="1"/>
      <c r="BA5" s="1"/>
      <c r="BB5" s="1"/>
      <c r="BC5" s="1"/>
      <c r="BD5" s="1"/>
      <c r="BE5" s="1"/>
      <c r="BF5" s="1"/>
      <c r="BG5" s="1"/>
      <c r="BH5" s="1"/>
      <c r="BI5" s="1"/>
      <c r="BJ5" s="1"/>
      <c r="BK5" s="1"/>
      <c r="BL5" s="1"/>
      <c r="BM5" s="1"/>
      <c r="BN5" s="1"/>
      <c r="BO5" s="1"/>
      <c r="BP5" s="1"/>
      <c r="BQ5" s="1"/>
      <c r="BR5" s="1"/>
      <c r="BS5" s="1"/>
      <c r="BT5" s="1"/>
      <c r="BU5" s="1"/>
      <c r="BV5" s="1"/>
      <c r="BW5" s="1"/>
      <c r="CL5" s="1"/>
      <c r="CM5" s="1"/>
    </row>
    <row r="6" spans="1:91" s="2" customFormat="1" ht="213" thickBot="1" x14ac:dyDescent="0.25">
      <c r="A6" s="6" t="s">
        <v>17</v>
      </c>
      <c r="B6" s="7" t="s">
        <v>18</v>
      </c>
      <c r="C6" s="8" t="s">
        <v>19</v>
      </c>
      <c r="D6" s="3" t="s">
        <v>20</v>
      </c>
      <c r="E6" s="4" t="s">
        <v>21</v>
      </c>
      <c r="F6" s="4" t="s">
        <v>22</v>
      </c>
      <c r="G6" s="4" t="s">
        <v>23</v>
      </c>
      <c r="H6" s="4" t="s">
        <v>24</v>
      </c>
      <c r="I6" s="9" t="s">
        <v>25</v>
      </c>
      <c r="J6" s="10" t="s">
        <v>126</v>
      </c>
      <c r="K6" s="10" t="s">
        <v>127</v>
      </c>
      <c r="L6" s="10" t="s">
        <v>128</v>
      </c>
      <c r="M6" s="11" t="s">
        <v>129</v>
      </c>
      <c r="N6" s="10" t="s">
        <v>26</v>
      </c>
      <c r="O6" s="10" t="s">
        <v>27</v>
      </c>
      <c r="P6" s="11" t="s">
        <v>28</v>
      </c>
      <c r="Q6" s="9" t="s">
        <v>29</v>
      </c>
      <c r="R6" s="10" t="s">
        <v>30</v>
      </c>
      <c r="S6" s="11" t="s">
        <v>31</v>
      </c>
      <c r="T6" s="9" t="s">
        <v>32</v>
      </c>
      <c r="U6" s="10" t="s">
        <v>33</v>
      </c>
      <c r="V6" s="10" t="s">
        <v>34</v>
      </c>
      <c r="W6" s="12" t="s">
        <v>35</v>
      </c>
      <c r="X6" s="12" t="s">
        <v>36</v>
      </c>
      <c r="Y6" s="13" t="s">
        <v>37</v>
      </c>
      <c r="Z6" s="9" t="s">
        <v>15</v>
      </c>
      <c r="AA6" s="11" t="s">
        <v>16</v>
      </c>
      <c r="AB6" s="10" t="s">
        <v>110</v>
      </c>
      <c r="AC6" s="9" t="s">
        <v>38</v>
      </c>
      <c r="AD6" s="10" t="s">
        <v>111</v>
      </c>
      <c r="AE6" s="10" t="s">
        <v>39</v>
      </c>
      <c r="AF6" s="10" t="s">
        <v>40</v>
      </c>
      <c r="AG6" s="92" t="s">
        <v>112</v>
      </c>
      <c r="AH6" s="92" t="s">
        <v>113</v>
      </c>
      <c r="AI6" s="92" t="s">
        <v>114</v>
      </c>
      <c r="AJ6" s="99" t="s">
        <v>115</v>
      </c>
      <c r="AK6" s="14" t="s">
        <v>41</v>
      </c>
      <c r="AL6" s="9" t="s">
        <v>42</v>
      </c>
      <c r="AM6" s="92" t="s">
        <v>122</v>
      </c>
      <c r="AN6" s="10" t="s">
        <v>43</v>
      </c>
      <c r="AO6" s="92" t="s">
        <v>123</v>
      </c>
      <c r="AP6" s="10" t="s">
        <v>45</v>
      </c>
      <c r="AQ6" s="92" t="s">
        <v>124</v>
      </c>
      <c r="AR6" s="10" t="s">
        <v>44</v>
      </c>
      <c r="AS6" s="92" t="s">
        <v>125</v>
      </c>
      <c r="AT6" s="10" t="s">
        <v>116</v>
      </c>
      <c r="AU6" s="10" t="s">
        <v>117</v>
      </c>
      <c r="AV6" s="92" t="s">
        <v>118</v>
      </c>
      <c r="AW6" s="9" t="s">
        <v>46</v>
      </c>
      <c r="AX6" s="10" t="s">
        <v>47</v>
      </c>
      <c r="AY6" s="10" t="s">
        <v>48</v>
      </c>
      <c r="AZ6" s="10" t="s">
        <v>49</v>
      </c>
      <c r="BA6" s="96" t="s">
        <v>50</v>
      </c>
      <c r="BB6" s="10" t="s">
        <v>51</v>
      </c>
      <c r="BC6" s="10" t="s">
        <v>52</v>
      </c>
      <c r="BD6" s="10" t="s">
        <v>108</v>
      </c>
      <c r="BE6" s="9" t="s">
        <v>53</v>
      </c>
      <c r="BF6" s="10" t="s">
        <v>54</v>
      </c>
      <c r="BG6" s="10" t="s">
        <v>55</v>
      </c>
      <c r="BH6" s="10" t="s">
        <v>56</v>
      </c>
      <c r="BI6" s="10" t="s">
        <v>57</v>
      </c>
      <c r="BJ6" s="10" t="s">
        <v>58</v>
      </c>
      <c r="BK6" s="11" t="s">
        <v>59</v>
      </c>
      <c r="BL6" s="9" t="s">
        <v>60</v>
      </c>
      <c r="BM6" s="10" t="s">
        <v>61</v>
      </c>
      <c r="BN6" s="10" t="s">
        <v>62</v>
      </c>
      <c r="BO6" s="10" t="s">
        <v>63</v>
      </c>
      <c r="BP6" s="10" t="s">
        <v>64</v>
      </c>
      <c r="BQ6" s="10" t="s">
        <v>65</v>
      </c>
      <c r="BR6" s="10" t="s">
        <v>66</v>
      </c>
      <c r="BS6" s="9" t="s">
        <v>70</v>
      </c>
      <c r="BT6" s="10" t="s">
        <v>67</v>
      </c>
      <c r="BU6" s="10" t="s">
        <v>68</v>
      </c>
      <c r="BV6" s="10" t="s">
        <v>69</v>
      </c>
      <c r="BW6" s="11" t="s">
        <v>71</v>
      </c>
    </row>
    <row r="7" spans="1:91" ht="64" x14ac:dyDescent="0.2">
      <c r="A7" t="s">
        <v>134</v>
      </c>
      <c r="B7" t="s">
        <v>205</v>
      </c>
      <c r="C7" t="s">
        <v>206</v>
      </c>
      <c r="D7" s="1" t="s">
        <v>73</v>
      </c>
      <c r="E7" s="1" t="s">
        <v>72</v>
      </c>
      <c r="F7" s="1" t="s">
        <v>73</v>
      </c>
      <c r="G7" s="1" t="s">
        <v>73</v>
      </c>
      <c r="I7" s="1">
        <v>6</v>
      </c>
      <c r="J7">
        <v>6</v>
      </c>
      <c r="K7"/>
      <c r="L7">
        <v>4</v>
      </c>
      <c r="M7"/>
      <c r="Q7" s="1" t="s">
        <v>73</v>
      </c>
      <c r="R7" s="1" t="s">
        <v>73</v>
      </c>
      <c r="S7" s="1" t="s">
        <v>73</v>
      </c>
      <c r="T7"/>
      <c r="U7"/>
      <c r="V7"/>
      <c r="W7"/>
      <c r="X7"/>
      <c r="Y7"/>
      <c r="Z7" s="1" t="s">
        <v>73</v>
      </c>
      <c r="AA7" s="1" t="s">
        <v>73</v>
      </c>
      <c r="AB7"/>
      <c r="AD7"/>
      <c r="AE7"/>
      <c r="AF7"/>
      <c r="AG7"/>
      <c r="AH7"/>
      <c r="AI7"/>
      <c r="AJ7"/>
      <c r="AK7" s="1" t="s">
        <v>73</v>
      </c>
      <c r="AL7" s="1" t="s">
        <v>73</v>
      </c>
      <c r="AM7"/>
      <c r="AN7" s="1" t="s">
        <v>73</v>
      </c>
      <c r="AO7"/>
      <c r="AP7" s="1" t="s">
        <v>73</v>
      </c>
      <c r="AQ7"/>
      <c r="AR7" s="1" t="s">
        <v>73</v>
      </c>
      <c r="AT7" t="s">
        <v>73</v>
      </c>
      <c r="AW7" s="1">
        <v>100</v>
      </c>
      <c r="AX7" s="1">
        <v>8</v>
      </c>
      <c r="AY7" s="1" t="s">
        <v>72</v>
      </c>
      <c r="AZ7" s="1" t="s">
        <v>72</v>
      </c>
      <c r="BA7" s="61" t="s">
        <v>403</v>
      </c>
      <c r="BB7">
        <v>1987</v>
      </c>
      <c r="BC7" s="85">
        <v>45657.924108796295</v>
      </c>
      <c r="BD7" s="85">
        <v>45658.749490740738</v>
      </c>
      <c r="BE7" t="s">
        <v>73</v>
      </c>
      <c r="BF7" t="s">
        <v>73</v>
      </c>
      <c r="BG7" t="s">
        <v>73</v>
      </c>
      <c r="BH7" t="s">
        <v>73</v>
      </c>
      <c r="BI7" t="s">
        <v>73</v>
      </c>
      <c r="BJ7" t="s">
        <v>73</v>
      </c>
      <c r="BL7" t="s">
        <v>73</v>
      </c>
      <c r="BM7" t="s">
        <v>73</v>
      </c>
      <c r="BN7" t="s">
        <v>73</v>
      </c>
      <c r="BO7" t="s">
        <v>73</v>
      </c>
      <c r="BP7" t="s">
        <v>73</v>
      </c>
      <c r="BQ7" s="1" t="s">
        <v>73</v>
      </c>
      <c r="BS7" s="1" t="s">
        <v>73</v>
      </c>
      <c r="BT7" s="1" t="s">
        <v>369</v>
      </c>
      <c r="BU7" s="1" t="s">
        <v>369</v>
      </c>
      <c r="BV7" s="1" t="s">
        <v>369</v>
      </c>
      <c r="BX7"/>
      <c r="BY7"/>
      <c r="BZ7"/>
      <c r="CA7"/>
      <c r="CB7"/>
      <c r="CC7"/>
      <c r="CD7"/>
      <c r="CE7"/>
      <c r="CF7"/>
      <c r="CG7"/>
      <c r="CH7"/>
      <c r="CI7"/>
      <c r="CJ7"/>
      <c r="CK7"/>
    </row>
    <row r="8" spans="1:91" ht="16" x14ac:dyDescent="0.2">
      <c r="A8" t="s">
        <v>134</v>
      </c>
      <c r="B8" t="s">
        <v>343</v>
      </c>
      <c r="C8" t="s">
        <v>344</v>
      </c>
      <c r="D8" s="1" t="s">
        <v>73</v>
      </c>
      <c r="E8" s="1" t="s">
        <v>72</v>
      </c>
      <c r="F8" s="1" t="s">
        <v>72</v>
      </c>
      <c r="G8" s="1" t="s">
        <v>73</v>
      </c>
      <c r="I8" s="1">
        <v>8</v>
      </c>
      <c r="J8">
        <v>5</v>
      </c>
      <c r="K8"/>
      <c r="L8"/>
      <c r="M8"/>
      <c r="Q8" s="1" t="s">
        <v>73</v>
      </c>
      <c r="R8" s="1" t="s">
        <v>73</v>
      </c>
      <c r="S8" s="1" t="s">
        <v>73</v>
      </c>
      <c r="T8"/>
      <c r="U8"/>
      <c r="V8"/>
      <c r="W8"/>
      <c r="X8"/>
      <c r="Y8"/>
      <c r="Z8" s="1" t="s">
        <v>73</v>
      </c>
      <c r="AA8" s="1" t="s">
        <v>73</v>
      </c>
      <c r="AB8"/>
      <c r="AC8" s="1">
        <v>2</v>
      </c>
      <c r="AD8"/>
      <c r="AE8"/>
      <c r="AF8"/>
      <c r="AG8">
        <v>2</v>
      </c>
      <c r="AH8"/>
      <c r="AI8"/>
      <c r="AJ8"/>
      <c r="AK8" s="1" t="s">
        <v>73</v>
      </c>
      <c r="AL8" s="1" t="s">
        <v>72</v>
      </c>
      <c r="AM8">
        <v>6</v>
      </c>
      <c r="AN8" s="1" t="s">
        <v>73</v>
      </c>
      <c r="AO8"/>
      <c r="AP8" s="1" t="s">
        <v>73</v>
      </c>
      <c r="AQ8"/>
      <c r="AR8" s="1" t="s">
        <v>73</v>
      </c>
      <c r="AT8" t="s">
        <v>73</v>
      </c>
      <c r="AW8" s="1">
        <v>25</v>
      </c>
      <c r="AX8" s="1">
        <v>8</v>
      </c>
      <c r="AY8" s="1" t="s">
        <v>73</v>
      </c>
      <c r="AZ8" s="1" t="s">
        <v>73</v>
      </c>
      <c r="BA8" s="61" t="s">
        <v>73</v>
      </c>
      <c r="BB8">
        <v>1977</v>
      </c>
      <c r="BC8" s="85">
        <v>45656.750740740739</v>
      </c>
      <c r="BD8" s="85">
        <v>45656.709074074075</v>
      </c>
      <c r="BE8" t="s">
        <v>73</v>
      </c>
      <c r="BF8" t="s">
        <v>73</v>
      </c>
      <c r="BG8" t="s">
        <v>73</v>
      </c>
      <c r="BH8" t="s">
        <v>73</v>
      </c>
      <c r="BI8" t="s">
        <v>73</v>
      </c>
      <c r="BJ8" t="s">
        <v>73</v>
      </c>
      <c r="BL8" t="s">
        <v>73</v>
      </c>
      <c r="BM8" t="s">
        <v>73</v>
      </c>
      <c r="BN8" t="s">
        <v>73</v>
      </c>
      <c r="BO8" t="s">
        <v>73</v>
      </c>
      <c r="BP8" t="s">
        <v>73</v>
      </c>
      <c r="BQ8" s="1" t="s">
        <v>73</v>
      </c>
      <c r="BS8" s="1" t="s">
        <v>73</v>
      </c>
      <c r="BT8" s="1" t="s">
        <v>369</v>
      </c>
      <c r="BU8" s="1" t="s">
        <v>369</v>
      </c>
      <c r="BV8" s="1" t="s">
        <v>369</v>
      </c>
      <c r="BX8"/>
      <c r="BY8"/>
      <c r="BZ8"/>
      <c r="CA8"/>
      <c r="CB8"/>
      <c r="CC8"/>
      <c r="CD8"/>
      <c r="CE8"/>
      <c r="CF8"/>
      <c r="CG8"/>
      <c r="CH8"/>
      <c r="CI8"/>
      <c r="CJ8"/>
      <c r="CK8"/>
    </row>
    <row r="9" spans="1:91" ht="16" x14ac:dyDescent="0.2">
      <c r="A9" t="s">
        <v>134</v>
      </c>
      <c r="B9" t="s">
        <v>345</v>
      </c>
      <c r="C9" t="s">
        <v>346</v>
      </c>
      <c r="D9" s="1" t="s">
        <v>73</v>
      </c>
      <c r="E9" s="1" t="s">
        <v>72</v>
      </c>
      <c r="F9" s="1" t="s">
        <v>73</v>
      </c>
      <c r="G9" s="1" t="s">
        <v>73</v>
      </c>
      <c r="I9" s="1">
        <v>10</v>
      </c>
      <c r="J9"/>
      <c r="K9"/>
      <c r="L9">
        <v>4</v>
      </c>
      <c r="M9"/>
      <c r="Q9" s="1" t="s">
        <v>73</v>
      </c>
      <c r="R9" s="1" t="s">
        <v>73</v>
      </c>
      <c r="S9" s="1" t="s">
        <v>73</v>
      </c>
      <c r="T9">
        <v>1</v>
      </c>
      <c r="U9"/>
      <c r="V9"/>
      <c r="W9">
        <v>1</v>
      </c>
      <c r="X9"/>
      <c r="Y9"/>
      <c r="Z9" s="1" t="s">
        <v>73</v>
      </c>
      <c r="AA9" s="1" t="s">
        <v>73</v>
      </c>
      <c r="AB9"/>
      <c r="AC9" s="1">
        <v>4</v>
      </c>
      <c r="AD9"/>
      <c r="AE9"/>
      <c r="AF9"/>
      <c r="AG9">
        <v>4</v>
      </c>
      <c r="AH9"/>
      <c r="AI9"/>
      <c r="AJ9"/>
      <c r="AK9" s="1" t="s">
        <v>72</v>
      </c>
      <c r="AL9" s="1" t="s">
        <v>72</v>
      </c>
      <c r="AM9">
        <v>6</v>
      </c>
      <c r="AN9" s="1" t="s">
        <v>72</v>
      </c>
      <c r="AO9">
        <v>6</v>
      </c>
      <c r="AP9" s="1" t="s">
        <v>73</v>
      </c>
      <c r="AQ9"/>
      <c r="AR9" s="1" t="s">
        <v>72</v>
      </c>
      <c r="AS9">
        <v>6</v>
      </c>
      <c r="AT9" t="s">
        <v>72</v>
      </c>
      <c r="AU9">
        <v>1</v>
      </c>
      <c r="AV9">
        <v>1</v>
      </c>
      <c r="AW9" s="1">
        <v>65</v>
      </c>
      <c r="AX9" s="1">
        <v>12</v>
      </c>
      <c r="AY9" s="1" t="s">
        <v>72</v>
      </c>
      <c r="AZ9" s="1" t="s">
        <v>73</v>
      </c>
      <c r="BA9" s="61" t="s">
        <v>73</v>
      </c>
      <c r="BB9">
        <v>1973</v>
      </c>
      <c r="BC9" s="85">
        <v>45656.482511574075</v>
      </c>
      <c r="BD9" s="85">
        <v>45656.440844907411</v>
      </c>
      <c r="BE9" t="s">
        <v>73</v>
      </c>
      <c r="BF9" t="s">
        <v>73</v>
      </c>
      <c r="BG9" t="s">
        <v>73</v>
      </c>
      <c r="BH9" t="s">
        <v>73</v>
      </c>
      <c r="BI9" t="s">
        <v>73</v>
      </c>
      <c r="BJ9" t="s">
        <v>73</v>
      </c>
      <c r="BL9" t="s">
        <v>73</v>
      </c>
      <c r="BM9" t="s">
        <v>73</v>
      </c>
      <c r="BN9" t="s">
        <v>73</v>
      </c>
      <c r="BO9" t="s">
        <v>73</v>
      </c>
      <c r="BP9" t="s">
        <v>73</v>
      </c>
      <c r="BQ9" s="1" t="s">
        <v>73</v>
      </c>
      <c r="BS9" s="1" t="s">
        <v>73</v>
      </c>
      <c r="BT9" s="1" t="s">
        <v>369</v>
      </c>
      <c r="BU9" s="1" t="s">
        <v>369</v>
      </c>
      <c r="BV9" s="1" t="s">
        <v>369</v>
      </c>
      <c r="BX9"/>
      <c r="BY9"/>
      <c r="BZ9"/>
      <c r="CA9"/>
      <c r="CB9"/>
      <c r="CC9"/>
      <c r="CD9"/>
      <c r="CE9"/>
      <c r="CF9"/>
      <c r="CG9"/>
      <c r="CH9"/>
      <c r="CI9"/>
      <c r="CJ9"/>
      <c r="CK9"/>
    </row>
    <row r="10" spans="1:91" ht="16" x14ac:dyDescent="0.2">
      <c r="A10" t="s">
        <v>134</v>
      </c>
      <c r="B10" t="s">
        <v>316</v>
      </c>
      <c r="C10" t="s">
        <v>317</v>
      </c>
      <c r="D10" s="1" t="s">
        <v>73</v>
      </c>
      <c r="E10" s="1" t="s">
        <v>72</v>
      </c>
      <c r="F10" s="1" t="s">
        <v>73</v>
      </c>
      <c r="G10" s="1" t="s">
        <v>73</v>
      </c>
      <c r="J10"/>
      <c r="K10"/>
      <c r="L10">
        <v>3</v>
      </c>
      <c r="M10"/>
      <c r="Q10" s="1" t="s">
        <v>73</v>
      </c>
      <c r="R10" s="1" t="s">
        <v>73</v>
      </c>
      <c r="S10" s="1" t="s">
        <v>73</v>
      </c>
      <c r="T10"/>
      <c r="U10"/>
      <c r="V10"/>
      <c r="W10"/>
      <c r="X10"/>
      <c r="Y10"/>
      <c r="Z10" s="1" t="s">
        <v>73</v>
      </c>
      <c r="AA10" s="1" t="s">
        <v>73</v>
      </c>
      <c r="AB10"/>
      <c r="AD10"/>
      <c r="AE10"/>
      <c r="AF10"/>
      <c r="AG10"/>
      <c r="AH10"/>
      <c r="AI10"/>
      <c r="AJ10"/>
      <c r="AK10" s="1" t="s">
        <v>73</v>
      </c>
      <c r="AL10" s="1" t="s">
        <v>72</v>
      </c>
      <c r="AM10">
        <v>5</v>
      </c>
      <c r="AN10" s="1" t="s">
        <v>72</v>
      </c>
      <c r="AO10">
        <v>5</v>
      </c>
      <c r="AP10" s="1" t="s">
        <v>73</v>
      </c>
      <c r="AQ10"/>
      <c r="AR10" s="1" t="s">
        <v>72</v>
      </c>
      <c r="AS10">
        <v>5</v>
      </c>
      <c r="AT10" t="s">
        <v>73</v>
      </c>
      <c r="AW10" s="1">
        <v>44</v>
      </c>
      <c r="AX10" s="1">
        <v>5</v>
      </c>
      <c r="AY10" s="1" t="s">
        <v>73</v>
      </c>
      <c r="AZ10" s="1" t="s">
        <v>73</v>
      </c>
      <c r="BA10" s="61" t="s">
        <v>73</v>
      </c>
      <c r="BB10">
        <v>1958</v>
      </c>
      <c r="BC10" s="85">
        <v>45653.897569444445</v>
      </c>
      <c r="BD10" s="85">
        <v>45653.855902777781</v>
      </c>
      <c r="BE10" t="s">
        <v>73</v>
      </c>
      <c r="BF10" t="s">
        <v>73</v>
      </c>
      <c r="BG10" t="s">
        <v>73</v>
      </c>
      <c r="BH10" t="s">
        <v>73</v>
      </c>
      <c r="BI10" t="s">
        <v>73</v>
      </c>
      <c r="BJ10" t="s">
        <v>73</v>
      </c>
      <c r="BL10" t="s">
        <v>73</v>
      </c>
      <c r="BM10" t="s">
        <v>73</v>
      </c>
      <c r="BN10" t="s">
        <v>73</v>
      </c>
      <c r="BO10" t="s">
        <v>73</v>
      </c>
      <c r="BP10" t="s">
        <v>73</v>
      </c>
      <c r="BQ10" s="1" t="s">
        <v>73</v>
      </c>
      <c r="BS10" s="1" t="s">
        <v>73</v>
      </c>
      <c r="BT10" s="1" t="s">
        <v>369</v>
      </c>
      <c r="BU10" s="1" t="s">
        <v>369</v>
      </c>
      <c r="BV10" s="1" t="s">
        <v>369</v>
      </c>
      <c r="BX10"/>
      <c r="BY10"/>
      <c r="BZ10"/>
      <c r="CA10"/>
      <c r="CB10"/>
      <c r="CC10"/>
      <c r="CD10"/>
      <c r="CE10"/>
      <c r="CF10"/>
      <c r="CG10"/>
      <c r="CH10"/>
      <c r="CI10"/>
      <c r="CJ10"/>
      <c r="CK10"/>
    </row>
    <row r="11" spans="1:91" ht="16" x14ac:dyDescent="0.2">
      <c r="A11" t="s">
        <v>134</v>
      </c>
      <c r="B11" t="s">
        <v>318</v>
      </c>
      <c r="C11" t="s">
        <v>319</v>
      </c>
      <c r="D11" s="1" t="s">
        <v>73</v>
      </c>
      <c r="E11" s="1" t="s">
        <v>72</v>
      </c>
      <c r="F11" s="1" t="s">
        <v>72</v>
      </c>
      <c r="G11" s="1" t="s">
        <v>73</v>
      </c>
      <c r="I11" s="1">
        <v>14</v>
      </c>
      <c r="J11">
        <v>8</v>
      </c>
      <c r="K11"/>
      <c r="L11">
        <v>4</v>
      </c>
      <c r="M11"/>
      <c r="N11" s="1">
        <v>13</v>
      </c>
      <c r="O11" s="1">
        <v>6</v>
      </c>
      <c r="Q11" s="1" t="s">
        <v>73</v>
      </c>
      <c r="R11" s="1" t="s">
        <v>73</v>
      </c>
      <c r="S11" s="1" t="s">
        <v>73</v>
      </c>
      <c r="T11">
        <v>1</v>
      </c>
      <c r="U11">
        <v>2</v>
      </c>
      <c r="V11">
        <v>1</v>
      </c>
      <c r="W11">
        <v>1</v>
      </c>
      <c r="X11">
        <v>2</v>
      </c>
      <c r="Y11">
        <v>1</v>
      </c>
      <c r="Z11" s="1" t="s">
        <v>73</v>
      </c>
      <c r="AA11" s="1" t="s">
        <v>73</v>
      </c>
      <c r="AB11"/>
      <c r="AC11" s="1">
        <v>3</v>
      </c>
      <c r="AD11"/>
      <c r="AE11"/>
      <c r="AF11"/>
      <c r="AG11">
        <v>3</v>
      </c>
      <c r="AH11"/>
      <c r="AI11"/>
      <c r="AJ11"/>
      <c r="AK11" s="1" t="s">
        <v>72</v>
      </c>
      <c r="AL11" s="1" t="s">
        <v>72</v>
      </c>
      <c r="AM11">
        <v>6</v>
      </c>
      <c r="AN11" s="1" t="s">
        <v>72</v>
      </c>
      <c r="AO11">
        <v>6</v>
      </c>
      <c r="AP11" s="1" t="s">
        <v>73</v>
      </c>
      <c r="AQ11"/>
      <c r="AR11" s="1" t="s">
        <v>73</v>
      </c>
      <c r="AT11" t="s">
        <v>72</v>
      </c>
      <c r="AU11">
        <v>2</v>
      </c>
      <c r="AW11" s="1">
        <v>125</v>
      </c>
      <c r="AX11" s="1">
        <v>22</v>
      </c>
      <c r="AY11" s="1" t="s">
        <v>72</v>
      </c>
      <c r="AZ11" s="1" t="s">
        <v>72</v>
      </c>
      <c r="BA11" s="61" t="s">
        <v>73</v>
      </c>
      <c r="BB11">
        <v>1955</v>
      </c>
      <c r="BC11" s="85">
        <v>45653.878842592596</v>
      </c>
      <c r="BD11" s="85">
        <v>45653.837175925924</v>
      </c>
      <c r="BE11" t="s">
        <v>73</v>
      </c>
      <c r="BF11" t="s">
        <v>73</v>
      </c>
      <c r="BG11" t="s">
        <v>73</v>
      </c>
      <c r="BH11" t="s">
        <v>73</v>
      </c>
      <c r="BI11" t="s">
        <v>73</v>
      </c>
      <c r="BJ11" t="s">
        <v>73</v>
      </c>
      <c r="BL11" t="s">
        <v>73</v>
      </c>
      <c r="BM11" t="s">
        <v>73</v>
      </c>
      <c r="BN11" t="s">
        <v>73</v>
      </c>
      <c r="BO11" t="s">
        <v>73</v>
      </c>
      <c r="BP11" t="s">
        <v>73</v>
      </c>
      <c r="BQ11" s="1" t="s">
        <v>73</v>
      </c>
      <c r="BS11" s="1" t="s">
        <v>73</v>
      </c>
      <c r="BT11" s="1" t="s">
        <v>369</v>
      </c>
      <c r="BU11" s="1" t="s">
        <v>369</v>
      </c>
      <c r="BV11" s="1" t="s">
        <v>369</v>
      </c>
      <c r="BX11"/>
      <c r="BY11"/>
      <c r="BZ11"/>
      <c r="CA11"/>
      <c r="CB11"/>
      <c r="CC11"/>
      <c r="CD11"/>
      <c r="CE11"/>
      <c r="CF11"/>
      <c r="CG11"/>
      <c r="CH11"/>
      <c r="CI11"/>
      <c r="CJ11"/>
      <c r="CK11"/>
    </row>
    <row r="12" spans="1:91" ht="16" x14ac:dyDescent="0.2">
      <c r="A12" t="s">
        <v>134</v>
      </c>
      <c r="B12" t="s">
        <v>314</v>
      </c>
      <c r="C12" t="s">
        <v>315</v>
      </c>
      <c r="D12" s="1" t="s">
        <v>73</v>
      </c>
      <c r="E12" s="1" t="s">
        <v>72</v>
      </c>
      <c r="F12" s="1" t="s">
        <v>72</v>
      </c>
      <c r="G12" s="1" t="s">
        <v>73</v>
      </c>
      <c r="I12" s="1">
        <v>10</v>
      </c>
      <c r="J12">
        <v>6</v>
      </c>
      <c r="K12"/>
      <c r="L12">
        <v>6</v>
      </c>
      <c r="M12">
        <v>6</v>
      </c>
      <c r="Q12" s="1" t="s">
        <v>73</v>
      </c>
      <c r="R12" s="1" t="s">
        <v>73</v>
      </c>
      <c r="S12" s="1" t="s">
        <v>73</v>
      </c>
      <c r="T12"/>
      <c r="U12"/>
      <c r="V12"/>
      <c r="W12"/>
      <c r="X12"/>
      <c r="Y12"/>
      <c r="Z12" s="1" t="s">
        <v>73</v>
      </c>
      <c r="AA12" s="1" t="s">
        <v>73</v>
      </c>
      <c r="AB12"/>
      <c r="AC12" s="1">
        <v>4</v>
      </c>
      <c r="AD12"/>
      <c r="AE12"/>
      <c r="AF12"/>
      <c r="AG12">
        <v>4</v>
      </c>
      <c r="AH12"/>
      <c r="AI12"/>
      <c r="AJ12"/>
      <c r="AK12" s="1" t="s">
        <v>73</v>
      </c>
      <c r="AL12" s="1" t="s">
        <v>73</v>
      </c>
      <c r="AM12"/>
      <c r="AN12" s="1" t="s">
        <v>73</v>
      </c>
      <c r="AO12"/>
      <c r="AP12" s="1" t="s">
        <v>73</v>
      </c>
      <c r="AQ12"/>
      <c r="AR12" s="1" t="s">
        <v>73</v>
      </c>
      <c r="AT12" t="s">
        <v>73</v>
      </c>
      <c r="AW12" s="1">
        <v>130</v>
      </c>
      <c r="AX12" s="1">
        <v>20</v>
      </c>
      <c r="AY12" s="1" t="s">
        <v>73</v>
      </c>
      <c r="AZ12" s="1" t="s">
        <v>73</v>
      </c>
      <c r="BA12" s="61" t="s">
        <v>73</v>
      </c>
      <c r="BB12">
        <v>1951</v>
      </c>
      <c r="BC12" s="85">
        <v>45653.861597222225</v>
      </c>
      <c r="BD12" s="85">
        <v>45653.819930555554</v>
      </c>
      <c r="BE12" t="s">
        <v>73</v>
      </c>
      <c r="BF12" t="s">
        <v>73</v>
      </c>
      <c r="BG12" t="s">
        <v>73</v>
      </c>
      <c r="BH12" t="s">
        <v>73</v>
      </c>
      <c r="BI12" t="s">
        <v>73</v>
      </c>
      <c r="BJ12" t="s">
        <v>73</v>
      </c>
      <c r="BL12" t="s">
        <v>73</v>
      </c>
      <c r="BM12" t="s">
        <v>73</v>
      </c>
      <c r="BN12" t="s">
        <v>73</v>
      </c>
      <c r="BO12" t="s">
        <v>73</v>
      </c>
      <c r="BP12" t="s">
        <v>73</v>
      </c>
      <c r="BQ12" s="1" t="s">
        <v>73</v>
      </c>
      <c r="BS12" s="1" t="s">
        <v>73</v>
      </c>
      <c r="BT12" s="1" t="s">
        <v>369</v>
      </c>
      <c r="BU12" s="1" t="s">
        <v>369</v>
      </c>
      <c r="BV12" s="1" t="s">
        <v>369</v>
      </c>
      <c r="BX12"/>
      <c r="BY12"/>
      <c r="BZ12"/>
      <c r="CA12"/>
      <c r="CB12"/>
      <c r="CC12"/>
      <c r="CD12"/>
      <c r="CE12"/>
      <c r="CF12"/>
      <c r="CG12"/>
      <c r="CH12"/>
      <c r="CI12"/>
      <c r="CJ12"/>
      <c r="CK12"/>
    </row>
    <row r="13" spans="1:91" ht="16" x14ac:dyDescent="0.2">
      <c r="A13" t="s">
        <v>134</v>
      </c>
      <c r="B13" t="s">
        <v>309</v>
      </c>
      <c r="C13" t="s">
        <v>310</v>
      </c>
      <c r="D13" s="1" t="s">
        <v>73</v>
      </c>
      <c r="E13" s="1" t="s">
        <v>72</v>
      </c>
      <c r="F13" s="1" t="s">
        <v>72</v>
      </c>
      <c r="G13" s="1" t="s">
        <v>73</v>
      </c>
      <c r="I13" s="1">
        <v>14</v>
      </c>
      <c r="J13">
        <v>3</v>
      </c>
      <c r="K13"/>
      <c r="L13"/>
      <c r="M13"/>
      <c r="N13" s="1">
        <v>14</v>
      </c>
      <c r="O13" s="1">
        <v>3</v>
      </c>
      <c r="Q13" s="1" t="s">
        <v>73</v>
      </c>
      <c r="R13" s="1" t="s">
        <v>73</v>
      </c>
      <c r="S13" s="1" t="s">
        <v>73</v>
      </c>
      <c r="T13">
        <v>3</v>
      </c>
      <c r="U13">
        <v>2</v>
      </c>
      <c r="V13">
        <v>1</v>
      </c>
      <c r="W13">
        <v>2</v>
      </c>
      <c r="X13">
        <v>2</v>
      </c>
      <c r="Y13">
        <v>1</v>
      </c>
      <c r="Z13" s="1" t="s">
        <v>73</v>
      </c>
      <c r="AA13" s="1" t="s">
        <v>73</v>
      </c>
      <c r="AB13"/>
      <c r="AC13" s="1">
        <v>2</v>
      </c>
      <c r="AD13">
        <v>1</v>
      </c>
      <c r="AE13">
        <v>1</v>
      </c>
      <c r="AF13"/>
      <c r="AG13">
        <v>2</v>
      </c>
      <c r="AH13">
        <v>1</v>
      </c>
      <c r="AI13">
        <v>1</v>
      </c>
      <c r="AJ13"/>
      <c r="AK13" s="1" t="s">
        <v>73</v>
      </c>
      <c r="AL13" s="1" t="s">
        <v>72</v>
      </c>
      <c r="AM13">
        <v>4</v>
      </c>
      <c r="AN13" s="1" t="s">
        <v>72</v>
      </c>
      <c r="AO13">
        <v>4</v>
      </c>
      <c r="AP13" s="1" t="s">
        <v>73</v>
      </c>
      <c r="AQ13"/>
      <c r="AR13" s="1" t="s">
        <v>72</v>
      </c>
      <c r="AS13">
        <v>4</v>
      </c>
      <c r="AT13" t="s">
        <v>72</v>
      </c>
      <c r="AU13">
        <v>2</v>
      </c>
      <c r="AW13" s="1">
        <v>50</v>
      </c>
      <c r="AX13" s="1">
        <v>5</v>
      </c>
      <c r="AY13" s="1" t="s">
        <v>72</v>
      </c>
      <c r="AZ13" s="1" t="s">
        <v>73</v>
      </c>
      <c r="BA13" s="61" t="s">
        <v>73</v>
      </c>
      <c r="BB13">
        <v>1946</v>
      </c>
      <c r="BC13" s="85">
        <v>45653.780787037038</v>
      </c>
      <c r="BD13" s="85">
        <v>45653.739120370374</v>
      </c>
      <c r="BE13" t="s">
        <v>73</v>
      </c>
      <c r="BF13" t="s">
        <v>73</v>
      </c>
      <c r="BG13" t="s">
        <v>73</v>
      </c>
      <c r="BH13" t="s">
        <v>73</v>
      </c>
      <c r="BI13" t="s">
        <v>73</v>
      </c>
      <c r="BJ13" t="s">
        <v>73</v>
      </c>
      <c r="BL13" t="s">
        <v>73</v>
      </c>
      <c r="BM13" t="s">
        <v>73</v>
      </c>
      <c r="BN13" t="s">
        <v>73</v>
      </c>
      <c r="BO13" t="s">
        <v>73</v>
      </c>
      <c r="BP13" t="s">
        <v>73</v>
      </c>
      <c r="BQ13" s="1" t="s">
        <v>73</v>
      </c>
      <c r="BS13" s="1" t="s">
        <v>73</v>
      </c>
      <c r="BT13" s="1" t="s">
        <v>369</v>
      </c>
      <c r="BU13" s="1" t="s">
        <v>369</v>
      </c>
      <c r="BV13" s="1" t="s">
        <v>369</v>
      </c>
      <c r="BX13"/>
      <c r="BY13"/>
      <c r="BZ13"/>
      <c r="CA13"/>
      <c r="CB13"/>
      <c r="CC13"/>
      <c r="CD13"/>
      <c r="CE13"/>
      <c r="CF13"/>
      <c r="CG13"/>
      <c r="CH13"/>
      <c r="CI13"/>
      <c r="CJ13"/>
      <c r="CK13"/>
    </row>
    <row r="14" spans="1:91" ht="16" x14ac:dyDescent="0.2">
      <c r="A14" t="s">
        <v>134</v>
      </c>
      <c r="B14" t="s">
        <v>311</v>
      </c>
      <c r="C14" t="s">
        <v>312</v>
      </c>
      <c r="D14" s="1" t="s">
        <v>73</v>
      </c>
      <c r="E14" s="1" t="s">
        <v>72</v>
      </c>
      <c r="F14" s="1" t="s">
        <v>73</v>
      </c>
      <c r="G14" s="1" t="s">
        <v>73</v>
      </c>
      <c r="J14">
        <v>6</v>
      </c>
      <c r="K14"/>
      <c r="L14">
        <v>10</v>
      </c>
      <c r="M14">
        <v>3</v>
      </c>
      <c r="Q14" s="1" t="s">
        <v>73</v>
      </c>
      <c r="R14" s="1" t="s">
        <v>73</v>
      </c>
      <c r="S14" s="1" t="s">
        <v>73</v>
      </c>
      <c r="T14"/>
      <c r="U14"/>
      <c r="V14"/>
      <c r="W14"/>
      <c r="X14"/>
      <c r="Y14"/>
      <c r="Z14" s="1" t="s">
        <v>73</v>
      </c>
      <c r="AA14" s="1" t="s">
        <v>73</v>
      </c>
      <c r="AB14"/>
      <c r="AD14"/>
      <c r="AE14"/>
      <c r="AF14"/>
      <c r="AG14"/>
      <c r="AH14"/>
      <c r="AI14"/>
      <c r="AJ14"/>
      <c r="AK14" s="1" t="s">
        <v>73</v>
      </c>
      <c r="AL14" s="1" t="s">
        <v>73</v>
      </c>
      <c r="AM14"/>
      <c r="AN14" s="1" t="s">
        <v>73</v>
      </c>
      <c r="AO14"/>
      <c r="AP14" s="1" t="s">
        <v>73</v>
      </c>
      <c r="AQ14"/>
      <c r="AR14" s="1" t="s">
        <v>73</v>
      </c>
      <c r="AT14" t="s">
        <v>72</v>
      </c>
      <c r="AU14">
        <v>2</v>
      </c>
      <c r="AW14" s="1">
        <v>75</v>
      </c>
      <c r="AX14" s="1">
        <v>13</v>
      </c>
      <c r="AY14" s="1" t="s">
        <v>73</v>
      </c>
      <c r="AZ14" s="1" t="s">
        <v>72</v>
      </c>
      <c r="BA14" s="61" t="s">
        <v>73</v>
      </c>
      <c r="BB14">
        <v>1939</v>
      </c>
      <c r="BC14" s="85">
        <v>45653.433240740742</v>
      </c>
      <c r="BD14" s="85">
        <v>45653.391574074078</v>
      </c>
      <c r="BE14" t="s">
        <v>73</v>
      </c>
      <c r="BF14" t="s">
        <v>73</v>
      </c>
      <c r="BG14" t="s">
        <v>73</v>
      </c>
      <c r="BH14" t="s">
        <v>73</v>
      </c>
      <c r="BI14" t="s">
        <v>73</v>
      </c>
      <c r="BJ14" t="s">
        <v>73</v>
      </c>
      <c r="BL14" t="s">
        <v>73</v>
      </c>
      <c r="BM14" t="s">
        <v>73</v>
      </c>
      <c r="BN14" t="s">
        <v>73</v>
      </c>
      <c r="BO14" t="s">
        <v>73</v>
      </c>
      <c r="BP14" t="s">
        <v>73</v>
      </c>
      <c r="BQ14" s="1" t="s">
        <v>73</v>
      </c>
      <c r="BS14" s="1" t="s">
        <v>73</v>
      </c>
      <c r="BT14" s="1" t="s">
        <v>369</v>
      </c>
      <c r="BU14" s="1" t="s">
        <v>369</v>
      </c>
      <c r="BV14" s="1" t="s">
        <v>369</v>
      </c>
      <c r="BX14"/>
      <c r="BY14"/>
      <c r="BZ14"/>
      <c r="CA14"/>
      <c r="CB14"/>
      <c r="CC14"/>
      <c r="CD14"/>
      <c r="CE14"/>
      <c r="CF14"/>
      <c r="CG14"/>
      <c r="CH14"/>
      <c r="CI14"/>
      <c r="CJ14"/>
      <c r="CK14"/>
    </row>
    <row r="15" spans="1:91" ht="16" x14ac:dyDescent="0.2">
      <c r="A15" t="s">
        <v>134</v>
      </c>
      <c r="B15" t="s">
        <v>292</v>
      </c>
      <c r="C15" t="s">
        <v>293</v>
      </c>
      <c r="D15" s="1" t="s">
        <v>73</v>
      </c>
      <c r="E15" s="1" t="s">
        <v>72</v>
      </c>
      <c r="F15" s="1" t="s">
        <v>72</v>
      </c>
      <c r="G15" s="1" t="s">
        <v>73</v>
      </c>
      <c r="I15" s="1">
        <v>14</v>
      </c>
      <c r="J15"/>
      <c r="K15"/>
      <c r="L15">
        <v>4</v>
      </c>
      <c r="M15"/>
      <c r="Q15" s="1" t="s">
        <v>73</v>
      </c>
      <c r="R15" s="1" t="s">
        <v>73</v>
      </c>
      <c r="S15" s="1" t="s">
        <v>73</v>
      </c>
      <c r="T15"/>
      <c r="U15"/>
      <c r="V15"/>
      <c r="W15"/>
      <c r="X15"/>
      <c r="Y15"/>
      <c r="Z15" s="1" t="s">
        <v>73</v>
      </c>
      <c r="AA15" s="1" t="s">
        <v>73</v>
      </c>
      <c r="AB15"/>
      <c r="AC15" s="1">
        <v>4</v>
      </c>
      <c r="AD15"/>
      <c r="AE15"/>
      <c r="AF15"/>
      <c r="AG15">
        <v>4</v>
      </c>
      <c r="AH15"/>
      <c r="AI15"/>
      <c r="AJ15"/>
      <c r="AK15" s="1" t="s">
        <v>73</v>
      </c>
      <c r="AL15" s="1" t="s">
        <v>72</v>
      </c>
      <c r="AM15">
        <v>6</v>
      </c>
      <c r="AN15" s="1" t="s">
        <v>72</v>
      </c>
      <c r="AO15">
        <v>6</v>
      </c>
      <c r="AP15" s="1" t="s">
        <v>73</v>
      </c>
      <c r="AQ15"/>
      <c r="AR15" s="1" t="s">
        <v>72</v>
      </c>
      <c r="AS15">
        <v>6</v>
      </c>
      <c r="AT15" t="s">
        <v>72</v>
      </c>
      <c r="AU15">
        <v>2</v>
      </c>
      <c r="AW15" s="1">
        <v>65</v>
      </c>
      <c r="AX15" s="1">
        <v>15</v>
      </c>
      <c r="AY15" s="1" t="s">
        <v>72</v>
      </c>
      <c r="AZ15" s="1" t="s">
        <v>73</v>
      </c>
      <c r="BA15" s="61" t="s">
        <v>73</v>
      </c>
      <c r="BB15">
        <v>1935</v>
      </c>
      <c r="BC15" s="85">
        <v>45653.008796296293</v>
      </c>
      <c r="BD15" s="85">
        <v>45652.967129629629</v>
      </c>
      <c r="BE15" t="s">
        <v>73</v>
      </c>
      <c r="BF15" t="s">
        <v>73</v>
      </c>
      <c r="BG15" t="s">
        <v>73</v>
      </c>
      <c r="BH15" t="s">
        <v>73</v>
      </c>
      <c r="BI15" t="s">
        <v>73</v>
      </c>
      <c r="BJ15" t="s">
        <v>73</v>
      </c>
      <c r="BL15" t="s">
        <v>73</v>
      </c>
      <c r="BM15" t="s">
        <v>73</v>
      </c>
      <c r="BN15" t="s">
        <v>73</v>
      </c>
      <c r="BO15" t="s">
        <v>73</v>
      </c>
      <c r="BP15" t="s">
        <v>73</v>
      </c>
      <c r="BQ15" s="1" t="s">
        <v>73</v>
      </c>
      <c r="BS15" s="1" t="s">
        <v>73</v>
      </c>
      <c r="BT15" s="1" t="s">
        <v>369</v>
      </c>
      <c r="BU15" s="1" t="s">
        <v>369</v>
      </c>
      <c r="BV15" s="1" t="s">
        <v>369</v>
      </c>
      <c r="BX15"/>
      <c r="BY15"/>
      <c r="BZ15"/>
      <c r="CA15"/>
      <c r="CB15"/>
      <c r="CC15"/>
      <c r="CD15"/>
      <c r="CE15"/>
      <c r="CF15"/>
      <c r="CG15"/>
      <c r="CH15"/>
      <c r="CI15"/>
      <c r="CJ15"/>
      <c r="CK15"/>
    </row>
    <row r="16" spans="1:91" ht="16" x14ac:dyDescent="0.2">
      <c r="A16" t="s">
        <v>134</v>
      </c>
      <c r="B16" t="s">
        <v>288</v>
      </c>
      <c r="C16" t="s">
        <v>289</v>
      </c>
      <c r="D16" s="1" t="s">
        <v>72</v>
      </c>
      <c r="E16" s="1" t="s">
        <v>73</v>
      </c>
      <c r="F16" s="1" t="s">
        <v>73</v>
      </c>
      <c r="G16" s="1" t="s">
        <v>73</v>
      </c>
      <c r="J16"/>
      <c r="K16"/>
      <c r="L16"/>
      <c r="M16"/>
      <c r="Q16" s="1" t="s">
        <v>73</v>
      </c>
      <c r="R16" s="1" t="s">
        <v>73</v>
      </c>
      <c r="S16" s="1" t="s">
        <v>73</v>
      </c>
      <c r="T16"/>
      <c r="U16"/>
      <c r="V16"/>
      <c r="W16"/>
      <c r="X16"/>
      <c r="Y16"/>
      <c r="Z16" s="1" t="s">
        <v>73</v>
      </c>
      <c r="AA16" s="1" t="s">
        <v>73</v>
      </c>
      <c r="AB16"/>
      <c r="AD16"/>
      <c r="AE16"/>
      <c r="AF16"/>
      <c r="AG16"/>
      <c r="AH16"/>
      <c r="AI16"/>
      <c r="AJ16"/>
      <c r="AK16" s="1" t="s">
        <v>73</v>
      </c>
      <c r="AL16" s="1" t="s">
        <v>73</v>
      </c>
      <c r="AM16"/>
      <c r="AN16" s="1" t="s">
        <v>73</v>
      </c>
      <c r="AO16"/>
      <c r="AP16" s="1" t="s">
        <v>73</v>
      </c>
      <c r="AQ16"/>
      <c r="AR16" s="1" t="s">
        <v>73</v>
      </c>
      <c r="AT16" t="s">
        <v>73</v>
      </c>
      <c r="AW16" s="1">
        <v>10</v>
      </c>
      <c r="AX16" s="1">
        <v>0</v>
      </c>
      <c r="AY16" s="1" t="s">
        <v>73</v>
      </c>
      <c r="AZ16" s="1" t="s">
        <v>73</v>
      </c>
      <c r="BA16" s="61" t="s">
        <v>73</v>
      </c>
      <c r="BB16">
        <v>1929</v>
      </c>
      <c r="BC16" s="85">
        <v>45652.550474537034</v>
      </c>
      <c r="BD16" s="85">
        <v>45652.50880787037</v>
      </c>
      <c r="BE16" t="s">
        <v>73</v>
      </c>
      <c r="BF16" t="s">
        <v>73</v>
      </c>
      <c r="BG16" t="s">
        <v>73</v>
      </c>
      <c r="BH16" t="s">
        <v>73</v>
      </c>
      <c r="BI16" t="s">
        <v>73</v>
      </c>
      <c r="BJ16" t="s">
        <v>73</v>
      </c>
      <c r="BL16" t="s">
        <v>73</v>
      </c>
      <c r="BM16" t="s">
        <v>73</v>
      </c>
      <c r="BN16" t="s">
        <v>73</v>
      </c>
      <c r="BO16" t="s">
        <v>73</v>
      </c>
      <c r="BP16" t="s">
        <v>73</v>
      </c>
      <c r="BQ16" s="1" t="s">
        <v>73</v>
      </c>
      <c r="BS16" s="1" t="s">
        <v>73</v>
      </c>
      <c r="BT16" s="1" t="s">
        <v>369</v>
      </c>
      <c r="BU16" s="1" t="s">
        <v>369</v>
      </c>
      <c r="BV16" s="1" t="s">
        <v>369</v>
      </c>
      <c r="BX16"/>
      <c r="BY16"/>
      <c r="BZ16"/>
      <c r="CA16"/>
      <c r="CB16"/>
      <c r="CC16"/>
      <c r="CD16"/>
      <c r="CE16"/>
      <c r="CF16"/>
      <c r="CG16"/>
      <c r="CH16"/>
      <c r="CI16"/>
      <c r="CJ16"/>
      <c r="CK16"/>
    </row>
    <row r="17" spans="1:89" ht="16" x14ac:dyDescent="0.2">
      <c r="A17" t="s">
        <v>134</v>
      </c>
      <c r="B17" t="s">
        <v>283</v>
      </c>
      <c r="C17" t="s">
        <v>284</v>
      </c>
      <c r="D17" s="1" t="s">
        <v>73</v>
      </c>
      <c r="E17" s="1" t="s">
        <v>72</v>
      </c>
      <c r="F17" s="1" t="s">
        <v>73</v>
      </c>
      <c r="G17" s="1" t="s">
        <v>73</v>
      </c>
      <c r="I17" s="1">
        <v>4</v>
      </c>
      <c r="J17"/>
      <c r="K17"/>
      <c r="L17"/>
      <c r="M17"/>
      <c r="Q17" s="1" t="s">
        <v>73</v>
      </c>
      <c r="R17" s="1" t="s">
        <v>73</v>
      </c>
      <c r="S17" s="1" t="s">
        <v>73</v>
      </c>
      <c r="T17"/>
      <c r="U17"/>
      <c r="V17"/>
      <c r="W17"/>
      <c r="X17"/>
      <c r="Y17"/>
      <c r="Z17" s="1" t="s">
        <v>73</v>
      </c>
      <c r="AA17" s="1" t="s">
        <v>73</v>
      </c>
      <c r="AB17"/>
      <c r="AD17"/>
      <c r="AE17"/>
      <c r="AF17"/>
      <c r="AG17"/>
      <c r="AH17"/>
      <c r="AI17"/>
      <c r="AJ17"/>
      <c r="AK17" s="1" t="s">
        <v>73</v>
      </c>
      <c r="AL17" s="1" t="s">
        <v>72</v>
      </c>
      <c r="AM17">
        <v>6</v>
      </c>
      <c r="AN17" s="1" t="s">
        <v>72</v>
      </c>
      <c r="AO17">
        <v>6</v>
      </c>
      <c r="AP17" s="1" t="s">
        <v>73</v>
      </c>
      <c r="AQ17"/>
      <c r="AR17" s="1" t="s">
        <v>72</v>
      </c>
      <c r="AS17">
        <v>6</v>
      </c>
      <c r="AT17" t="s">
        <v>73</v>
      </c>
      <c r="AW17" s="1">
        <v>42</v>
      </c>
      <c r="AX17" s="1">
        <v>5</v>
      </c>
      <c r="AY17" s="1" t="s">
        <v>73</v>
      </c>
      <c r="AZ17" s="1" t="s">
        <v>73</v>
      </c>
      <c r="BA17" s="61" t="s">
        <v>73</v>
      </c>
      <c r="BB17">
        <v>1918</v>
      </c>
      <c r="BC17" s="85">
        <v>45650.73678240741</v>
      </c>
      <c r="BD17" s="85">
        <v>45650.695115740738</v>
      </c>
      <c r="BE17" t="s">
        <v>73</v>
      </c>
      <c r="BF17" t="s">
        <v>73</v>
      </c>
      <c r="BG17" t="s">
        <v>73</v>
      </c>
      <c r="BH17" t="s">
        <v>73</v>
      </c>
      <c r="BI17" t="s">
        <v>73</v>
      </c>
      <c r="BJ17" t="s">
        <v>73</v>
      </c>
      <c r="BL17" t="s">
        <v>73</v>
      </c>
      <c r="BM17" t="s">
        <v>73</v>
      </c>
      <c r="BN17" t="s">
        <v>73</v>
      </c>
      <c r="BO17" t="s">
        <v>73</v>
      </c>
      <c r="BP17" t="s">
        <v>73</v>
      </c>
      <c r="BQ17" s="1" t="s">
        <v>73</v>
      </c>
      <c r="BS17" s="1" t="s">
        <v>73</v>
      </c>
      <c r="BT17" s="1" t="s">
        <v>369</v>
      </c>
      <c r="BU17" s="1" t="s">
        <v>369</v>
      </c>
      <c r="BV17" s="1" t="s">
        <v>369</v>
      </c>
      <c r="BX17"/>
      <c r="BY17"/>
      <c r="BZ17"/>
      <c r="CA17"/>
      <c r="CB17"/>
      <c r="CC17"/>
      <c r="CD17"/>
      <c r="CE17"/>
      <c r="CF17"/>
      <c r="CG17"/>
      <c r="CH17"/>
      <c r="CI17"/>
      <c r="CJ17"/>
      <c r="CK17"/>
    </row>
    <row r="18" spans="1:89" ht="16" x14ac:dyDescent="0.2">
      <c r="A18" t="s">
        <v>134</v>
      </c>
      <c r="B18" t="s">
        <v>269</v>
      </c>
      <c r="C18" t="s">
        <v>270</v>
      </c>
      <c r="D18" s="1" t="s">
        <v>73</v>
      </c>
      <c r="E18" s="1" t="s">
        <v>72</v>
      </c>
      <c r="F18" s="1" t="s">
        <v>73</v>
      </c>
      <c r="G18" s="1" t="s">
        <v>73</v>
      </c>
      <c r="J18">
        <v>5</v>
      </c>
      <c r="K18"/>
      <c r="L18"/>
      <c r="M18"/>
      <c r="Q18" s="1" t="s">
        <v>73</v>
      </c>
      <c r="R18" s="1" t="s">
        <v>73</v>
      </c>
      <c r="S18" s="1" t="s">
        <v>73</v>
      </c>
      <c r="T18"/>
      <c r="U18"/>
      <c r="V18"/>
      <c r="W18"/>
      <c r="X18"/>
      <c r="Y18"/>
      <c r="Z18" s="1" t="s">
        <v>73</v>
      </c>
      <c r="AA18" s="1" t="s">
        <v>73</v>
      </c>
      <c r="AB18"/>
      <c r="AC18" s="1">
        <v>5</v>
      </c>
      <c r="AD18"/>
      <c r="AE18">
        <v>2</v>
      </c>
      <c r="AF18"/>
      <c r="AG18">
        <v>5</v>
      </c>
      <c r="AH18"/>
      <c r="AI18">
        <v>2</v>
      </c>
      <c r="AJ18"/>
      <c r="AK18" s="1" t="s">
        <v>73</v>
      </c>
      <c r="AL18" s="1" t="s">
        <v>72</v>
      </c>
      <c r="AM18">
        <v>4</v>
      </c>
      <c r="AN18" s="1" t="s">
        <v>72</v>
      </c>
      <c r="AO18">
        <v>2</v>
      </c>
      <c r="AP18" s="1" t="s">
        <v>73</v>
      </c>
      <c r="AQ18"/>
      <c r="AR18" s="1" t="s">
        <v>72</v>
      </c>
      <c r="AS18">
        <v>4</v>
      </c>
      <c r="AT18" t="s">
        <v>73</v>
      </c>
      <c r="AW18" s="1">
        <v>50</v>
      </c>
      <c r="AX18" s="1">
        <v>10</v>
      </c>
      <c r="AY18" s="1" t="s">
        <v>73</v>
      </c>
      <c r="AZ18" s="1" t="s">
        <v>73</v>
      </c>
      <c r="BA18" s="61" t="s">
        <v>73</v>
      </c>
      <c r="BB18">
        <v>1907</v>
      </c>
      <c r="BC18" s="85">
        <v>45649.605740740742</v>
      </c>
      <c r="BD18" s="85">
        <v>45649.564074074071</v>
      </c>
      <c r="BE18" t="s">
        <v>73</v>
      </c>
      <c r="BF18" t="s">
        <v>73</v>
      </c>
      <c r="BG18" t="s">
        <v>73</v>
      </c>
      <c r="BH18" t="s">
        <v>73</v>
      </c>
      <c r="BI18" t="s">
        <v>73</v>
      </c>
      <c r="BJ18" t="s">
        <v>73</v>
      </c>
      <c r="BL18" t="s">
        <v>73</v>
      </c>
      <c r="BM18" t="s">
        <v>73</v>
      </c>
      <c r="BN18" t="s">
        <v>73</v>
      </c>
      <c r="BO18" t="s">
        <v>73</v>
      </c>
      <c r="BP18" t="s">
        <v>73</v>
      </c>
      <c r="BQ18" s="1" t="s">
        <v>73</v>
      </c>
      <c r="BS18" s="1" t="s">
        <v>73</v>
      </c>
      <c r="BT18" s="1" t="s">
        <v>369</v>
      </c>
      <c r="BU18" s="1" t="s">
        <v>369</v>
      </c>
      <c r="BV18" s="1" t="s">
        <v>369</v>
      </c>
      <c r="BX18"/>
      <c r="BY18"/>
      <c r="BZ18"/>
      <c r="CA18"/>
      <c r="CB18"/>
      <c r="CC18"/>
      <c r="CD18"/>
      <c r="CE18"/>
      <c r="CF18"/>
      <c r="CG18"/>
      <c r="CH18"/>
      <c r="CI18"/>
      <c r="CJ18"/>
      <c r="CK18"/>
    </row>
    <row r="19" spans="1:89" ht="16" x14ac:dyDescent="0.2">
      <c r="A19" t="s">
        <v>134</v>
      </c>
      <c r="B19" t="s">
        <v>234</v>
      </c>
      <c r="C19" t="s">
        <v>235</v>
      </c>
      <c r="D19" s="1" t="s">
        <v>73</v>
      </c>
      <c r="E19" s="1" t="s">
        <v>72</v>
      </c>
      <c r="F19" s="1" t="s">
        <v>73</v>
      </c>
      <c r="G19" s="1" t="s">
        <v>73</v>
      </c>
      <c r="I19" s="1">
        <v>16</v>
      </c>
      <c r="J19"/>
      <c r="K19"/>
      <c r="L19"/>
      <c r="M19"/>
      <c r="Q19" s="1" t="s">
        <v>73</v>
      </c>
      <c r="R19" s="1" t="s">
        <v>73</v>
      </c>
      <c r="S19" s="1" t="s">
        <v>73</v>
      </c>
      <c r="T19"/>
      <c r="U19"/>
      <c r="V19"/>
      <c r="W19"/>
      <c r="X19"/>
      <c r="Y19"/>
      <c r="Z19" s="1" t="s">
        <v>73</v>
      </c>
      <c r="AA19" s="1" t="s">
        <v>73</v>
      </c>
      <c r="AB19"/>
      <c r="AC19" s="1">
        <v>5</v>
      </c>
      <c r="AD19"/>
      <c r="AE19"/>
      <c r="AF19"/>
      <c r="AG19">
        <v>5</v>
      </c>
      <c r="AH19"/>
      <c r="AI19"/>
      <c r="AJ19"/>
      <c r="AK19" s="1" t="s">
        <v>73</v>
      </c>
      <c r="AL19" s="1" t="s">
        <v>72</v>
      </c>
      <c r="AM19">
        <v>5</v>
      </c>
      <c r="AN19" s="1" t="s">
        <v>72</v>
      </c>
      <c r="AO19">
        <v>5</v>
      </c>
      <c r="AP19" s="1" t="s">
        <v>73</v>
      </c>
      <c r="AQ19"/>
      <c r="AR19" s="1" t="s">
        <v>72</v>
      </c>
      <c r="AS19">
        <v>5</v>
      </c>
      <c r="AT19" t="s">
        <v>73</v>
      </c>
      <c r="AW19" s="1">
        <v>100</v>
      </c>
      <c r="AX19" s="1">
        <v>8</v>
      </c>
      <c r="AY19" s="1" t="s">
        <v>72</v>
      </c>
      <c r="AZ19" s="1" t="s">
        <v>72</v>
      </c>
      <c r="BA19" s="61" t="s">
        <v>73</v>
      </c>
      <c r="BB19">
        <v>1876</v>
      </c>
      <c r="BC19" s="85">
        <v>45646.477731481478</v>
      </c>
      <c r="BD19" s="85">
        <v>45646.436064814814</v>
      </c>
      <c r="BE19" t="s">
        <v>73</v>
      </c>
      <c r="BF19" t="s">
        <v>73</v>
      </c>
      <c r="BG19" t="s">
        <v>73</v>
      </c>
      <c r="BH19" t="s">
        <v>73</v>
      </c>
      <c r="BI19" t="s">
        <v>73</v>
      </c>
      <c r="BJ19" t="s">
        <v>73</v>
      </c>
      <c r="BL19" t="s">
        <v>73</v>
      </c>
      <c r="BM19" t="s">
        <v>73</v>
      </c>
      <c r="BN19" t="s">
        <v>73</v>
      </c>
      <c r="BO19" t="s">
        <v>73</v>
      </c>
      <c r="BP19" t="s">
        <v>73</v>
      </c>
      <c r="BQ19" s="1" t="s">
        <v>73</v>
      </c>
      <c r="BS19" s="1" t="s">
        <v>73</v>
      </c>
      <c r="BT19" s="1" t="s">
        <v>369</v>
      </c>
      <c r="BU19" s="1" t="s">
        <v>369</v>
      </c>
      <c r="BV19" s="1" t="s">
        <v>369</v>
      </c>
      <c r="BX19"/>
      <c r="BY19"/>
      <c r="BZ19"/>
      <c r="CA19"/>
      <c r="CB19"/>
      <c r="CC19"/>
      <c r="CD19"/>
      <c r="CE19"/>
      <c r="CF19"/>
      <c r="CG19"/>
      <c r="CH19"/>
      <c r="CI19"/>
      <c r="CJ19"/>
      <c r="CK19"/>
    </row>
    <row r="20" spans="1:89" ht="16" x14ac:dyDescent="0.2">
      <c r="A20" t="s">
        <v>134</v>
      </c>
      <c r="B20" t="s">
        <v>224</v>
      </c>
      <c r="C20" t="s">
        <v>225</v>
      </c>
      <c r="D20" s="1" t="s">
        <v>73</v>
      </c>
      <c r="E20" s="1" t="s">
        <v>72</v>
      </c>
      <c r="F20" s="1" t="s">
        <v>73</v>
      </c>
      <c r="G20" s="1" t="s">
        <v>73</v>
      </c>
      <c r="J20"/>
      <c r="K20"/>
      <c r="L20"/>
      <c r="M20"/>
      <c r="Q20" s="1" t="s">
        <v>73</v>
      </c>
      <c r="R20" s="1" t="s">
        <v>73</v>
      </c>
      <c r="S20" s="1" t="s">
        <v>73</v>
      </c>
      <c r="T20"/>
      <c r="U20"/>
      <c r="V20"/>
      <c r="W20"/>
      <c r="X20"/>
      <c r="Y20"/>
      <c r="Z20" s="1" t="s">
        <v>73</v>
      </c>
      <c r="AA20" s="1" t="s">
        <v>73</v>
      </c>
      <c r="AB20"/>
      <c r="AD20"/>
      <c r="AE20"/>
      <c r="AF20"/>
      <c r="AG20"/>
      <c r="AH20"/>
      <c r="AI20"/>
      <c r="AJ20"/>
      <c r="AK20" s="1" t="s">
        <v>73</v>
      </c>
      <c r="AL20" s="1" t="s">
        <v>73</v>
      </c>
      <c r="AM20"/>
      <c r="AN20" s="1" t="s">
        <v>73</v>
      </c>
      <c r="AO20"/>
      <c r="AP20" s="1" t="s">
        <v>73</v>
      </c>
      <c r="AQ20"/>
      <c r="AR20" s="1" t="s">
        <v>73</v>
      </c>
      <c r="AT20" t="s">
        <v>73</v>
      </c>
      <c r="AW20" s="1">
        <v>50</v>
      </c>
      <c r="AX20" s="1">
        <v>6</v>
      </c>
      <c r="AY20" s="1" t="s">
        <v>73</v>
      </c>
      <c r="AZ20" s="1" t="s">
        <v>72</v>
      </c>
      <c r="BA20" s="61" t="s">
        <v>73</v>
      </c>
      <c r="BB20">
        <v>1863</v>
      </c>
      <c r="BC20" s="85">
        <v>45644.607523148145</v>
      </c>
      <c r="BD20" s="85">
        <v>45644.56585648148</v>
      </c>
      <c r="BE20" t="s">
        <v>73</v>
      </c>
      <c r="BF20" t="s">
        <v>73</v>
      </c>
      <c r="BG20" t="s">
        <v>73</v>
      </c>
      <c r="BH20" t="s">
        <v>73</v>
      </c>
      <c r="BI20" t="s">
        <v>73</v>
      </c>
      <c r="BJ20" t="s">
        <v>73</v>
      </c>
      <c r="BL20" t="s">
        <v>73</v>
      </c>
      <c r="BM20" t="s">
        <v>73</v>
      </c>
      <c r="BN20" t="s">
        <v>73</v>
      </c>
      <c r="BO20" t="s">
        <v>73</v>
      </c>
      <c r="BP20" t="s">
        <v>73</v>
      </c>
      <c r="BQ20" s="1" t="s">
        <v>73</v>
      </c>
      <c r="BS20" s="1" t="s">
        <v>73</v>
      </c>
      <c r="BT20" s="1" t="s">
        <v>369</v>
      </c>
      <c r="BU20" s="1" t="s">
        <v>369</v>
      </c>
      <c r="BV20" s="1" t="s">
        <v>369</v>
      </c>
      <c r="BX20"/>
      <c r="BY20"/>
      <c r="BZ20"/>
      <c r="CA20"/>
      <c r="CB20"/>
      <c r="CC20"/>
      <c r="CD20"/>
      <c r="CE20"/>
      <c r="CF20"/>
      <c r="CG20"/>
      <c r="CH20"/>
      <c r="CI20"/>
      <c r="CJ20"/>
      <c r="CK20"/>
    </row>
    <row r="21" spans="1:89" ht="16" x14ac:dyDescent="0.2">
      <c r="A21" t="s">
        <v>134</v>
      </c>
      <c r="B21" t="s">
        <v>207</v>
      </c>
      <c r="C21" t="s">
        <v>236</v>
      </c>
      <c r="D21" s="1" t="s">
        <v>73</v>
      </c>
      <c r="E21" s="1" t="s">
        <v>72</v>
      </c>
      <c r="F21" s="1" t="s">
        <v>72</v>
      </c>
      <c r="G21" s="1" t="s">
        <v>73</v>
      </c>
      <c r="I21" s="1">
        <v>7</v>
      </c>
      <c r="J21"/>
      <c r="K21"/>
      <c r="L21"/>
      <c r="M21"/>
      <c r="Q21" s="1" t="s">
        <v>73</v>
      </c>
      <c r="R21" s="1" t="s">
        <v>73</v>
      </c>
      <c r="S21" s="1" t="s">
        <v>73</v>
      </c>
      <c r="T21"/>
      <c r="U21"/>
      <c r="V21"/>
      <c r="W21"/>
      <c r="X21"/>
      <c r="Y21"/>
      <c r="Z21" s="1" t="s">
        <v>73</v>
      </c>
      <c r="AA21" s="1" t="s">
        <v>73</v>
      </c>
      <c r="AB21"/>
      <c r="AD21"/>
      <c r="AE21"/>
      <c r="AF21"/>
      <c r="AG21"/>
      <c r="AH21"/>
      <c r="AI21"/>
      <c r="AJ21"/>
      <c r="AK21" s="1" t="s">
        <v>72</v>
      </c>
      <c r="AL21" s="1" t="s">
        <v>72</v>
      </c>
      <c r="AM21">
        <v>6</v>
      </c>
      <c r="AN21" s="1" t="s">
        <v>72</v>
      </c>
      <c r="AO21">
        <v>6</v>
      </c>
      <c r="AP21" s="1" t="s">
        <v>73</v>
      </c>
      <c r="AQ21"/>
      <c r="AR21" s="1" t="s">
        <v>72</v>
      </c>
      <c r="AS21">
        <v>6</v>
      </c>
      <c r="AT21" t="s">
        <v>73</v>
      </c>
      <c r="AW21" s="1">
        <v>57</v>
      </c>
      <c r="AX21" s="1">
        <v>2</v>
      </c>
      <c r="AY21" s="1" t="s">
        <v>73</v>
      </c>
      <c r="AZ21" s="1" t="s">
        <v>73</v>
      </c>
      <c r="BA21" s="61" t="s">
        <v>73</v>
      </c>
      <c r="BB21">
        <v>1856</v>
      </c>
      <c r="BC21" s="85">
        <v>45643.504120370373</v>
      </c>
      <c r="BD21" s="85">
        <v>45646.44630787037</v>
      </c>
      <c r="BE21" t="s">
        <v>73</v>
      </c>
      <c r="BF21" t="s">
        <v>73</v>
      </c>
      <c r="BG21" t="s">
        <v>73</v>
      </c>
      <c r="BH21" t="s">
        <v>73</v>
      </c>
      <c r="BI21" t="s">
        <v>73</v>
      </c>
      <c r="BJ21" t="s">
        <v>73</v>
      </c>
      <c r="BL21" t="s">
        <v>73</v>
      </c>
      <c r="BM21" t="s">
        <v>73</v>
      </c>
      <c r="BN21" t="s">
        <v>73</v>
      </c>
      <c r="BO21" t="s">
        <v>73</v>
      </c>
      <c r="BP21" t="s">
        <v>73</v>
      </c>
      <c r="BQ21" s="1" t="s">
        <v>73</v>
      </c>
      <c r="BS21" s="1" t="s">
        <v>73</v>
      </c>
      <c r="BT21" s="1" t="s">
        <v>369</v>
      </c>
      <c r="BU21" s="1" t="s">
        <v>369</v>
      </c>
      <c r="BV21" s="1" t="s">
        <v>369</v>
      </c>
      <c r="BX21"/>
      <c r="BY21"/>
      <c r="BZ21"/>
      <c r="CA21"/>
      <c r="CB21"/>
      <c r="CC21"/>
      <c r="CD21"/>
      <c r="CE21"/>
      <c r="CF21"/>
      <c r="CG21"/>
      <c r="CH21"/>
      <c r="CI21"/>
      <c r="CJ21"/>
      <c r="CK21"/>
    </row>
    <row r="22" spans="1:89" ht="16" x14ac:dyDescent="0.2">
      <c r="A22" t="s">
        <v>134</v>
      </c>
      <c r="B22" t="s">
        <v>208</v>
      </c>
      <c r="C22" t="s">
        <v>209</v>
      </c>
      <c r="D22" s="1" t="s">
        <v>73</v>
      </c>
      <c r="E22" s="1" t="s">
        <v>72</v>
      </c>
      <c r="F22" s="1" t="s">
        <v>72</v>
      </c>
      <c r="G22" s="1" t="s">
        <v>73</v>
      </c>
      <c r="I22" s="1">
        <v>8</v>
      </c>
      <c r="J22">
        <v>10</v>
      </c>
      <c r="K22"/>
      <c r="L22">
        <v>4</v>
      </c>
      <c r="M22">
        <v>4</v>
      </c>
      <c r="Q22" s="1" t="s">
        <v>73</v>
      </c>
      <c r="R22" s="1" t="s">
        <v>73</v>
      </c>
      <c r="S22" s="1" t="s">
        <v>73</v>
      </c>
      <c r="T22"/>
      <c r="U22"/>
      <c r="V22"/>
      <c r="W22"/>
      <c r="X22"/>
      <c r="Y22"/>
      <c r="Z22" s="1" t="s">
        <v>73</v>
      </c>
      <c r="AA22" s="1" t="s">
        <v>73</v>
      </c>
      <c r="AB22"/>
      <c r="AD22"/>
      <c r="AE22"/>
      <c r="AF22"/>
      <c r="AG22"/>
      <c r="AH22"/>
      <c r="AI22"/>
      <c r="AJ22"/>
      <c r="AK22" s="1" t="s">
        <v>73</v>
      </c>
      <c r="AL22" s="1" t="s">
        <v>72</v>
      </c>
      <c r="AM22">
        <v>6</v>
      </c>
      <c r="AN22" s="1" t="s">
        <v>72</v>
      </c>
      <c r="AO22">
        <v>6</v>
      </c>
      <c r="AP22" s="1" t="s">
        <v>73</v>
      </c>
      <c r="AQ22"/>
      <c r="AR22" s="1" t="s">
        <v>72</v>
      </c>
      <c r="AS22">
        <v>6</v>
      </c>
      <c r="AT22" t="s">
        <v>73</v>
      </c>
      <c r="AW22" s="1">
        <v>60</v>
      </c>
      <c r="AX22" s="1">
        <v>18</v>
      </c>
      <c r="AY22" s="1" t="s">
        <v>73</v>
      </c>
      <c r="AZ22" s="1" t="s">
        <v>73</v>
      </c>
      <c r="BA22" s="61" t="s">
        <v>73</v>
      </c>
      <c r="BB22">
        <v>1850</v>
      </c>
      <c r="BC22" s="85">
        <v>45642.834224537037</v>
      </c>
      <c r="BD22" s="85">
        <v>45642.792557870373</v>
      </c>
      <c r="BE22" t="s">
        <v>73</v>
      </c>
      <c r="BF22" t="s">
        <v>73</v>
      </c>
      <c r="BG22" t="s">
        <v>73</v>
      </c>
      <c r="BH22" t="s">
        <v>73</v>
      </c>
      <c r="BI22" t="s">
        <v>73</v>
      </c>
      <c r="BJ22" t="s">
        <v>73</v>
      </c>
      <c r="BL22" t="s">
        <v>73</v>
      </c>
      <c r="BM22" t="s">
        <v>73</v>
      </c>
      <c r="BN22" t="s">
        <v>73</v>
      </c>
      <c r="BO22" t="s">
        <v>73</v>
      </c>
      <c r="BP22" t="s">
        <v>73</v>
      </c>
      <c r="BQ22" s="1" t="s">
        <v>73</v>
      </c>
      <c r="BS22" s="1" t="s">
        <v>73</v>
      </c>
      <c r="BT22" s="1" t="s">
        <v>369</v>
      </c>
      <c r="BU22" s="1" t="s">
        <v>369</v>
      </c>
      <c r="BV22" s="1" t="s">
        <v>369</v>
      </c>
      <c r="BX22"/>
      <c r="BY22"/>
      <c r="BZ22"/>
      <c r="CA22"/>
      <c r="CB22"/>
      <c r="CC22"/>
      <c r="CD22"/>
      <c r="CE22"/>
      <c r="CF22"/>
      <c r="CG22"/>
      <c r="CH22"/>
      <c r="CI22"/>
      <c r="CJ22"/>
      <c r="CK22"/>
    </row>
    <row r="23" spans="1:89" ht="16" x14ac:dyDescent="0.2">
      <c r="A23" t="s">
        <v>134</v>
      </c>
      <c r="B23" t="s">
        <v>210</v>
      </c>
      <c r="C23" t="s">
        <v>211</v>
      </c>
      <c r="D23" s="1" t="s">
        <v>73</v>
      </c>
      <c r="E23" s="1" t="s">
        <v>72</v>
      </c>
      <c r="F23" s="1" t="s">
        <v>72</v>
      </c>
      <c r="G23" s="1" t="s">
        <v>73</v>
      </c>
      <c r="I23" s="1">
        <v>5</v>
      </c>
      <c r="J23">
        <v>3</v>
      </c>
      <c r="K23"/>
      <c r="L23"/>
      <c r="M23"/>
      <c r="N23" s="1">
        <v>4</v>
      </c>
      <c r="Q23" s="1" t="s">
        <v>73</v>
      </c>
      <c r="R23" s="1" t="s">
        <v>73</v>
      </c>
      <c r="S23" s="1" t="s">
        <v>73</v>
      </c>
      <c r="T23">
        <v>3</v>
      </c>
      <c r="U23">
        <v>1</v>
      </c>
      <c r="V23"/>
      <c r="W23">
        <v>3</v>
      </c>
      <c r="X23">
        <v>1</v>
      </c>
      <c r="Y23"/>
      <c r="Z23" s="1" t="s">
        <v>73</v>
      </c>
      <c r="AA23" s="1" t="s">
        <v>73</v>
      </c>
      <c r="AB23"/>
      <c r="AD23"/>
      <c r="AE23"/>
      <c r="AF23"/>
      <c r="AG23"/>
      <c r="AH23"/>
      <c r="AI23"/>
      <c r="AJ23"/>
      <c r="AK23" s="1" t="s">
        <v>72</v>
      </c>
      <c r="AL23" s="1" t="s">
        <v>73</v>
      </c>
      <c r="AM23"/>
      <c r="AN23" s="1" t="s">
        <v>73</v>
      </c>
      <c r="AO23"/>
      <c r="AP23" s="1" t="s">
        <v>73</v>
      </c>
      <c r="AQ23"/>
      <c r="AR23" s="1" t="s">
        <v>73</v>
      </c>
      <c r="AT23" t="s">
        <v>73</v>
      </c>
      <c r="AW23" s="1">
        <v>32</v>
      </c>
      <c r="AX23" s="1">
        <v>7</v>
      </c>
      <c r="AY23" s="1" t="s">
        <v>73</v>
      </c>
      <c r="AZ23" s="1" t="s">
        <v>73</v>
      </c>
      <c r="BA23" s="61" t="s">
        <v>73</v>
      </c>
      <c r="BB23">
        <v>1846</v>
      </c>
      <c r="BC23" s="85">
        <v>45642.806666666664</v>
      </c>
      <c r="BD23" s="85">
        <v>45642.764999999999</v>
      </c>
      <c r="BE23" t="s">
        <v>73</v>
      </c>
      <c r="BF23" t="s">
        <v>73</v>
      </c>
      <c r="BG23" t="s">
        <v>73</v>
      </c>
      <c r="BH23" t="s">
        <v>73</v>
      </c>
      <c r="BI23" t="s">
        <v>73</v>
      </c>
      <c r="BJ23" t="s">
        <v>73</v>
      </c>
      <c r="BL23" t="s">
        <v>73</v>
      </c>
      <c r="BM23" t="s">
        <v>73</v>
      </c>
      <c r="BN23" t="s">
        <v>73</v>
      </c>
      <c r="BO23" t="s">
        <v>73</v>
      </c>
      <c r="BP23" t="s">
        <v>73</v>
      </c>
      <c r="BQ23" s="1" t="s">
        <v>73</v>
      </c>
      <c r="BS23" s="1" t="s">
        <v>73</v>
      </c>
      <c r="BT23" s="1" t="s">
        <v>369</v>
      </c>
      <c r="BU23" s="1" t="s">
        <v>369</v>
      </c>
      <c r="BV23" s="1" t="s">
        <v>369</v>
      </c>
      <c r="BX23"/>
      <c r="BY23"/>
      <c r="BZ23"/>
      <c r="CA23"/>
      <c r="CB23"/>
      <c r="CC23"/>
      <c r="CD23"/>
      <c r="CE23"/>
      <c r="CF23"/>
      <c r="CG23"/>
      <c r="CH23"/>
      <c r="CI23"/>
      <c r="CJ23"/>
      <c r="CK23"/>
    </row>
    <row r="24" spans="1:89" ht="16" x14ac:dyDescent="0.2">
      <c r="A24" t="s">
        <v>134</v>
      </c>
      <c r="B24" t="s">
        <v>203</v>
      </c>
      <c r="C24" t="s">
        <v>204</v>
      </c>
      <c r="D24" s="1" t="s">
        <v>73</v>
      </c>
      <c r="E24" s="1" t="s">
        <v>73</v>
      </c>
      <c r="F24" s="1" t="s">
        <v>73</v>
      </c>
      <c r="G24" s="1" t="s">
        <v>73</v>
      </c>
      <c r="J24"/>
      <c r="K24"/>
      <c r="L24"/>
      <c r="M24"/>
      <c r="Q24" s="1" t="s">
        <v>73</v>
      </c>
      <c r="R24" s="1" t="s">
        <v>73</v>
      </c>
      <c r="S24" s="1" t="s">
        <v>73</v>
      </c>
      <c r="T24"/>
      <c r="U24"/>
      <c r="V24"/>
      <c r="W24"/>
      <c r="X24"/>
      <c r="Y24"/>
      <c r="Z24" s="1" t="s">
        <v>73</v>
      </c>
      <c r="AA24" s="1" t="s">
        <v>73</v>
      </c>
      <c r="AB24"/>
      <c r="AD24"/>
      <c r="AE24"/>
      <c r="AF24"/>
      <c r="AG24"/>
      <c r="AH24"/>
      <c r="AI24"/>
      <c r="AJ24"/>
      <c r="AK24" s="1" t="s">
        <v>73</v>
      </c>
      <c r="AL24" s="1" t="s">
        <v>73</v>
      </c>
      <c r="AM24"/>
      <c r="AN24" s="1" t="s">
        <v>73</v>
      </c>
      <c r="AO24"/>
      <c r="AP24" s="1" t="s">
        <v>73</v>
      </c>
      <c r="AQ24"/>
      <c r="AR24" s="1" t="s">
        <v>73</v>
      </c>
      <c r="AT24" t="s">
        <v>73</v>
      </c>
      <c r="AW24" s="1">
        <v>30</v>
      </c>
      <c r="AX24" s="1">
        <v>2</v>
      </c>
      <c r="AY24" s="1" t="s">
        <v>72</v>
      </c>
      <c r="AZ24" s="1" t="s">
        <v>73</v>
      </c>
      <c r="BA24" s="61" t="s">
        <v>73</v>
      </c>
      <c r="BB24">
        <v>1843</v>
      </c>
      <c r="BC24" s="85">
        <v>45642.664270833331</v>
      </c>
      <c r="BD24" s="85">
        <v>45642.632361111115</v>
      </c>
      <c r="BE24" t="s">
        <v>73</v>
      </c>
      <c r="BF24" t="s">
        <v>73</v>
      </c>
      <c r="BG24" t="s">
        <v>73</v>
      </c>
      <c r="BH24" t="s">
        <v>73</v>
      </c>
      <c r="BI24" t="s">
        <v>73</v>
      </c>
      <c r="BJ24" t="s">
        <v>73</v>
      </c>
      <c r="BL24" t="s">
        <v>73</v>
      </c>
      <c r="BM24" t="s">
        <v>73</v>
      </c>
      <c r="BN24" t="s">
        <v>73</v>
      </c>
      <c r="BO24" t="s">
        <v>73</v>
      </c>
      <c r="BP24" t="s">
        <v>73</v>
      </c>
      <c r="BQ24" s="1" t="s">
        <v>73</v>
      </c>
      <c r="BS24" s="1" t="s">
        <v>73</v>
      </c>
      <c r="BT24" s="1" t="s">
        <v>369</v>
      </c>
      <c r="BU24" s="1" t="s">
        <v>369</v>
      </c>
      <c r="BV24" s="1" t="s">
        <v>369</v>
      </c>
      <c r="BX24"/>
      <c r="BY24"/>
      <c r="BZ24"/>
      <c r="CA24"/>
      <c r="CB24"/>
      <c r="CC24"/>
      <c r="CD24"/>
      <c r="CE24"/>
      <c r="CF24"/>
      <c r="CG24"/>
      <c r="CH24"/>
      <c r="CI24"/>
      <c r="CJ24"/>
      <c r="CK24"/>
    </row>
    <row r="25" spans="1:89" ht="16" x14ac:dyDescent="0.2">
      <c r="A25" t="s">
        <v>134</v>
      </c>
      <c r="B25" t="s">
        <v>192</v>
      </c>
      <c r="C25" t="s">
        <v>193</v>
      </c>
      <c r="D25" s="1" t="s">
        <v>73</v>
      </c>
      <c r="E25" s="1" t="s">
        <v>72</v>
      </c>
      <c r="F25" s="1" t="s">
        <v>72</v>
      </c>
      <c r="G25" s="1" t="s">
        <v>73</v>
      </c>
      <c r="I25" s="1">
        <v>8</v>
      </c>
      <c r="J25"/>
      <c r="K25"/>
      <c r="L25"/>
      <c r="M25"/>
      <c r="Q25" s="1" t="s">
        <v>73</v>
      </c>
      <c r="R25" s="1" t="s">
        <v>73</v>
      </c>
      <c r="S25" s="1" t="s">
        <v>73</v>
      </c>
      <c r="T25"/>
      <c r="U25"/>
      <c r="V25"/>
      <c r="W25"/>
      <c r="X25"/>
      <c r="Y25"/>
      <c r="Z25" s="1" t="s">
        <v>73</v>
      </c>
      <c r="AA25" s="1" t="s">
        <v>73</v>
      </c>
      <c r="AB25"/>
      <c r="AC25" s="1">
        <v>3</v>
      </c>
      <c r="AD25"/>
      <c r="AE25"/>
      <c r="AF25"/>
      <c r="AG25">
        <v>3</v>
      </c>
      <c r="AH25"/>
      <c r="AI25"/>
      <c r="AJ25"/>
      <c r="AK25" s="1" t="s">
        <v>72</v>
      </c>
      <c r="AL25" s="1" t="s">
        <v>72</v>
      </c>
      <c r="AM25">
        <v>6</v>
      </c>
      <c r="AN25" s="1" t="s">
        <v>72</v>
      </c>
      <c r="AO25">
        <v>4</v>
      </c>
      <c r="AP25" s="1" t="s">
        <v>73</v>
      </c>
      <c r="AQ25"/>
      <c r="AR25" s="1" t="s">
        <v>72</v>
      </c>
      <c r="AS25">
        <v>6</v>
      </c>
      <c r="AT25" t="s">
        <v>73</v>
      </c>
      <c r="AW25" s="1">
        <v>60</v>
      </c>
      <c r="AX25" s="1">
        <v>1</v>
      </c>
      <c r="AY25" s="1" t="s">
        <v>72</v>
      </c>
      <c r="AZ25" s="1" t="s">
        <v>72</v>
      </c>
      <c r="BA25" s="61" t="s">
        <v>73</v>
      </c>
      <c r="BB25">
        <v>1840</v>
      </c>
      <c r="BC25" s="85">
        <v>45641.723495370374</v>
      </c>
      <c r="BD25" s="85">
        <v>45641.681828703702</v>
      </c>
      <c r="BE25" t="s">
        <v>73</v>
      </c>
      <c r="BF25" t="s">
        <v>73</v>
      </c>
      <c r="BG25" t="s">
        <v>73</v>
      </c>
      <c r="BH25" t="s">
        <v>73</v>
      </c>
      <c r="BI25" t="s">
        <v>73</v>
      </c>
      <c r="BJ25" t="s">
        <v>73</v>
      </c>
      <c r="BL25" t="s">
        <v>73</v>
      </c>
      <c r="BM25" t="s">
        <v>73</v>
      </c>
      <c r="BN25" t="s">
        <v>73</v>
      </c>
      <c r="BO25" t="s">
        <v>73</v>
      </c>
      <c r="BP25" t="s">
        <v>73</v>
      </c>
      <c r="BQ25" s="1" t="s">
        <v>73</v>
      </c>
      <c r="BS25" s="1" t="s">
        <v>73</v>
      </c>
      <c r="BT25" s="1" t="s">
        <v>369</v>
      </c>
      <c r="BU25" s="1" t="s">
        <v>369</v>
      </c>
      <c r="BV25" s="1" t="s">
        <v>369</v>
      </c>
      <c r="BX25"/>
      <c r="BY25"/>
      <c r="BZ25"/>
      <c r="CA25"/>
      <c r="CB25"/>
      <c r="CC25"/>
      <c r="CD25"/>
      <c r="CE25"/>
      <c r="CF25"/>
      <c r="CG25"/>
      <c r="CH25"/>
      <c r="CI25"/>
      <c r="CJ25"/>
      <c r="CK25"/>
    </row>
    <row r="26" spans="1:89" ht="97" thickBot="1" x14ac:dyDescent="0.25">
      <c r="A26" t="s">
        <v>134</v>
      </c>
      <c r="B26" t="s">
        <v>174</v>
      </c>
      <c r="C26" t="s">
        <v>130</v>
      </c>
      <c r="D26" s="1" t="s">
        <v>73</v>
      </c>
      <c r="E26" s="1" t="s">
        <v>72</v>
      </c>
      <c r="F26" s="1" t="s">
        <v>73</v>
      </c>
      <c r="G26" s="1" t="s">
        <v>73</v>
      </c>
      <c r="I26" s="1">
        <v>4</v>
      </c>
      <c r="J26"/>
      <c r="K26"/>
      <c r="L26"/>
      <c r="M26"/>
      <c r="Q26" s="1" t="s">
        <v>73</v>
      </c>
      <c r="R26" s="1" t="s">
        <v>73</v>
      </c>
      <c r="S26" s="1" t="s">
        <v>73</v>
      </c>
      <c r="T26"/>
      <c r="U26"/>
      <c r="V26"/>
      <c r="W26"/>
      <c r="X26"/>
      <c r="Y26"/>
      <c r="Z26" s="1" t="s">
        <v>73</v>
      </c>
      <c r="AA26" s="1" t="s">
        <v>73</v>
      </c>
      <c r="AB26"/>
      <c r="AD26"/>
      <c r="AE26"/>
      <c r="AF26"/>
      <c r="AG26"/>
      <c r="AH26"/>
      <c r="AI26"/>
      <c r="AJ26"/>
      <c r="AK26" s="1" t="s">
        <v>73</v>
      </c>
      <c r="AL26" s="1" t="s">
        <v>72</v>
      </c>
      <c r="AM26">
        <v>4</v>
      </c>
      <c r="AN26" s="1" t="s">
        <v>72</v>
      </c>
      <c r="AO26">
        <v>4</v>
      </c>
      <c r="AP26" s="1" t="s">
        <v>73</v>
      </c>
      <c r="AQ26"/>
      <c r="AR26" s="1" t="s">
        <v>73</v>
      </c>
      <c r="AT26" t="s">
        <v>73</v>
      </c>
      <c r="AW26" s="1">
        <v>50</v>
      </c>
      <c r="AX26" s="1">
        <v>0</v>
      </c>
      <c r="AY26" s="1" t="s">
        <v>73</v>
      </c>
      <c r="AZ26" s="1" t="s">
        <v>73</v>
      </c>
      <c r="BA26" s="61" t="s">
        <v>131</v>
      </c>
      <c r="BB26">
        <v>1809</v>
      </c>
      <c r="BC26" s="85">
        <v>45628.780671296299</v>
      </c>
      <c r="BD26" s="85">
        <v>45631.711145833331</v>
      </c>
      <c r="BE26" t="s">
        <v>73</v>
      </c>
      <c r="BF26" t="s">
        <v>73</v>
      </c>
      <c r="BG26" t="s">
        <v>73</v>
      </c>
      <c r="BH26" t="s">
        <v>73</v>
      </c>
      <c r="BI26" t="s">
        <v>73</v>
      </c>
      <c r="BJ26" t="s">
        <v>73</v>
      </c>
      <c r="BL26" t="s">
        <v>73</v>
      </c>
      <c r="BM26" t="s">
        <v>73</v>
      </c>
      <c r="BN26" t="s">
        <v>73</v>
      </c>
      <c r="BO26" t="s">
        <v>73</v>
      </c>
      <c r="BP26" t="s">
        <v>73</v>
      </c>
      <c r="BQ26" s="1" t="s">
        <v>73</v>
      </c>
      <c r="BS26" s="1" t="s">
        <v>73</v>
      </c>
      <c r="BT26" s="1" t="s">
        <v>369</v>
      </c>
      <c r="BU26" s="1" t="s">
        <v>369</v>
      </c>
      <c r="BV26" s="1" t="s">
        <v>369</v>
      </c>
      <c r="BX26"/>
      <c r="BY26"/>
      <c r="BZ26"/>
      <c r="CA26"/>
      <c r="CB26"/>
      <c r="CC26"/>
      <c r="CD26"/>
      <c r="CE26"/>
      <c r="CF26"/>
      <c r="CG26"/>
      <c r="CH26"/>
      <c r="CI26"/>
      <c r="CJ26"/>
      <c r="CK26"/>
    </row>
    <row r="27" spans="1:89" ht="16" thickTop="1" x14ac:dyDescent="0.2">
      <c r="A27" t="s">
        <v>79</v>
      </c>
      <c r="C27">
        <f>SUBTOTAL(103,KDL[Naam vereniging])</f>
        <v>20</v>
      </c>
      <c r="D27" s="1">
        <f>COUNTIF(KDL[Delegatie],"x")</f>
        <v>1</v>
      </c>
      <c r="E27" s="16">
        <f>COUNTIF(KDL[Muziekkorps bij mars en defilé],"x")</f>
        <v>18</v>
      </c>
      <c r="F27" s="16">
        <f>COUNTIF(KDL[Deeln. jeugdkoningschieten],"x")</f>
        <v>9</v>
      </c>
      <c r="G27" s="16">
        <f>COUNTIF(KDL[Maj. Senioren jureren bij mars],"x")</f>
        <v>0</v>
      </c>
      <c r="H27" s="16">
        <f>COUNTIF(KDL[Maj. Jeugd jureren bij mars],"x")</f>
        <v>0</v>
      </c>
      <c r="I27" s="1">
        <f>SUBTOTAL(103,KDL[Korps senioren])</f>
        <v>14</v>
      </c>
      <c r="J27" s="1">
        <f>SUBTOTAL(103,KDL[Junioren korps 1])</f>
        <v>9</v>
      </c>
      <c r="K27" s="1">
        <f>SUBTOTAL(103,KDL[Junioren korps 2])</f>
        <v>0</v>
      </c>
      <c r="L27" s="1">
        <f>SUBTOTAL(103,KDL[Aspiranten korps 1])</f>
        <v>8</v>
      </c>
      <c r="M27" s="1">
        <f>SUBTOTAL(103,KDL[Aspiranten korps 2])</f>
        <v>3</v>
      </c>
      <c r="N27" s="1">
        <f>SUBTOTAL(103,KDL[Acrobatisch senioren])</f>
        <v>3</v>
      </c>
      <c r="O27" s="1">
        <f>SUBTOTAL(103,KDL[Acrobatisch junioren])</f>
        <v>2</v>
      </c>
      <c r="P27" s="1">
        <f>SUBTOTAL(103,KDL[Acrobatisch aspiranten])</f>
        <v>0</v>
      </c>
      <c r="T27" s="79">
        <f>SUBTOTAL(109,KDL[Senioren indiv.])</f>
        <v>8</v>
      </c>
      <c r="U27" s="79">
        <f>SUBTOTAL(109,KDL[Junioren indiv.])</f>
        <v>5</v>
      </c>
      <c r="V27" s="1">
        <f>SUBTOTAL(109,KDL[Aspiranten indiv.])</f>
        <v>2</v>
      </c>
      <c r="W27" s="1">
        <f>SUBTOTAL(109,KDL[Sen. ind opgegeven namen])</f>
        <v>7</v>
      </c>
      <c r="X27" s="1">
        <f>SUBTOTAL(109,KDL[Jun. ind opgegeven namen])</f>
        <v>5</v>
      </c>
      <c r="Y27" s="1">
        <f>SUBTOTAL(109,KDL[Asp. ind opgegeven namen])</f>
        <v>2</v>
      </c>
      <c r="Z27" s="16">
        <f>COUNTIF(KDL[Hoofdkorps],"x")</f>
        <v>0</v>
      </c>
      <c r="AA27" s="117">
        <f>COUNTIF(KDL[2e korps],"x")</f>
        <v>0</v>
      </c>
      <c r="AB27" s="1">
        <f>SUBTOTAL(109,KDL[Groepen, teams, ensembles en duo''s])</f>
        <v>0</v>
      </c>
      <c r="AC27" s="1">
        <f>SUBTOTAL(109,KDL[Senioren])</f>
        <v>32</v>
      </c>
      <c r="AD27" s="1">
        <f>SUBTOTAL(109,KDL[Jong volwassene])</f>
        <v>1</v>
      </c>
      <c r="AE27" s="1">
        <f>SUBTOTAL(109,KDL[Junioren])</f>
        <v>3</v>
      </c>
      <c r="AF27" s="1">
        <f>SUBTOTAL(109,KDL[Aspiranten])</f>
        <v>0</v>
      </c>
      <c r="AG27" s="1">
        <f>SUBTOTAL(109,KDL[Opgegeven senioren])</f>
        <v>32</v>
      </c>
      <c r="AH27" s="1">
        <f>SUBTOTAL(109,KDL[Opgegeven jong volwassene])</f>
        <v>1</v>
      </c>
      <c r="AI27" s="1">
        <f>SUBTOTAL(109,KDL[Opgegeven junioren])</f>
        <v>3</v>
      </c>
      <c r="AJ27" s="1">
        <f>SUBTOTAL(109,KDL[Opgegeven aspiranten])</f>
        <v>0</v>
      </c>
      <c r="AK27" s="1">
        <f>COUNTIF(KDL[Marketentsters],"x")</f>
        <v>5</v>
      </c>
      <c r="AL27" s="1">
        <f>COUNTIF(KDL[Luchtgeweer],"x")</f>
        <v>13</v>
      </c>
      <c r="AM27" s="1">
        <f>SUBTOTAL(109,KDL[Aantal luchtgeweerschutters])</f>
        <v>70</v>
      </c>
      <c r="AN27" s="1">
        <f>COUNTIF(KDL[Luchtpistool],"x")</f>
        <v>12</v>
      </c>
      <c r="AO27" s="1">
        <f>SUBTOTAL(109,KDL[Aantal luchtpistoolschutters])</f>
        <v>60</v>
      </c>
      <c r="AP27" s="1">
        <f>COUNTIF(KDL[Handboog],"x")</f>
        <v>0</v>
      </c>
      <c r="AQ27" s="1">
        <f>SUBTOTAL(109,KDL[Aantal handboogschutters])</f>
        <v>0</v>
      </c>
      <c r="AR27" s="1">
        <f>COUNTIF(KDL[Kruisboog],"x")</f>
        <v>10</v>
      </c>
      <c r="AS27" s="1">
        <f>SUBTOTAL(109,KDL[Aantal kruisboogschutters])</f>
        <v>54</v>
      </c>
      <c r="AT27" s="1">
        <f>COUNTIF(KDL[Luchtgeweer jeugd niet ouder dan 17 jaar.],"x")</f>
        <v>5</v>
      </c>
      <c r="AU27" s="1">
        <f>SUBTOTAL(109,KDL[Aantal korpsen])</f>
        <v>9</v>
      </c>
      <c r="AV27" s="1">
        <f>SUBTOTAL(109,KDL[Opgegeven jeugdkorpsen LG])</f>
        <v>1</v>
      </c>
      <c r="AW27" s="1">
        <f>SUBTOTAL(109,KDL[Totaal aantal deelnemers])</f>
        <v>1220</v>
      </c>
      <c r="AX27" s="1">
        <f>SUBTOTAL(109,KDL[Waarvan aantal jeugd (t/m 15 jaar)])</f>
        <v>167</v>
      </c>
      <c r="AY27" s="84">
        <f>COUNTIF(KDL[Kanon etc.],"x")</f>
        <v>8</v>
      </c>
      <c r="AZ27" s="1">
        <f>COUNTIF(KDL[Paarden en/of koetsen],"x")</f>
        <v>6</v>
      </c>
      <c r="BA27" s="63"/>
      <c r="BB27" s="1"/>
      <c r="BC27" s="1"/>
      <c r="BD27" s="1"/>
      <c r="BE27" s="1"/>
      <c r="BF27" s="1"/>
      <c r="BG27" s="1"/>
      <c r="BH27" s="1"/>
      <c r="BI27" s="1"/>
      <c r="BJ27" s="1"/>
      <c r="BK27" s="1"/>
      <c r="BL27" s="1"/>
      <c r="BM27" s="1"/>
      <c r="BN27" s="1"/>
      <c r="BO27" s="1"/>
      <c r="BP27" s="1"/>
      <c r="BQ27" s="1"/>
      <c r="BR27" s="1"/>
      <c r="BS27" s="1"/>
      <c r="BT27" s="1"/>
      <c r="BU27" s="1"/>
      <c r="BV27" s="1"/>
      <c r="BW27" s="1">
        <f>SUBTOTAL(109,KDL[Aantal opgegeven majorettes])</f>
        <v>0</v>
      </c>
    </row>
  </sheetData>
  <mergeCells count="14">
    <mergeCell ref="A1:BW1"/>
    <mergeCell ref="A2:BW2"/>
    <mergeCell ref="N4:P4"/>
    <mergeCell ref="Q4:S4"/>
    <mergeCell ref="T4:Y4"/>
    <mergeCell ref="BE4:BK4"/>
    <mergeCell ref="BL4:BR4"/>
    <mergeCell ref="AL3:AV3"/>
    <mergeCell ref="BE3:BR3"/>
    <mergeCell ref="D3:H3"/>
    <mergeCell ref="I3:Y3"/>
    <mergeCell ref="Z3:AA3"/>
    <mergeCell ref="BS3:BW3"/>
    <mergeCell ref="AW3:BD3"/>
  </mergeCells>
  <phoneticPr fontId="2" type="noConversion"/>
  <conditionalFormatting sqref="W6:W26">
    <cfRule type="expression" dxfId="34" priority="6">
      <formula>$T6-$W6&lt;&gt;0</formula>
    </cfRule>
  </conditionalFormatting>
  <conditionalFormatting sqref="X6:X26">
    <cfRule type="expression" dxfId="33" priority="7">
      <formula>$U6-$X6&lt;&gt;0</formula>
    </cfRule>
  </conditionalFormatting>
  <conditionalFormatting sqref="Y6:Y26">
    <cfRule type="expression" dxfId="32" priority="8">
      <formula>$V6-$Y6&lt;&gt;0</formula>
    </cfRule>
  </conditionalFormatting>
  <conditionalFormatting sqref="AG6:AG26">
    <cfRule type="expression" dxfId="31" priority="5">
      <formula>$AC6-$AG6&lt;&gt;0</formula>
    </cfRule>
  </conditionalFormatting>
  <conditionalFormatting sqref="AH6:AH26">
    <cfRule type="expression" dxfId="30" priority="4">
      <formula>$AD6-$AH6&lt;&gt;0</formula>
    </cfRule>
  </conditionalFormatting>
  <conditionalFormatting sqref="AI6:AI26">
    <cfRule type="expression" dxfId="29" priority="3">
      <formula>$AE6-$AI6&lt;&gt;0</formula>
    </cfRule>
  </conditionalFormatting>
  <conditionalFormatting sqref="AJ6:AJ26">
    <cfRule type="expression" dxfId="28" priority="2">
      <formula>$AF6-$AJ6&lt;&gt;0</formula>
    </cfRule>
  </conditionalFormatting>
  <conditionalFormatting sqref="AV6:AV26">
    <cfRule type="expression" dxfId="27" priority="1">
      <formula>$AU6-$AV6&lt;&gt;0</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740E9-934D-46C6-9E7F-C57A0A7E69F5}">
  <dimension ref="A1:DA32"/>
  <sheetViews>
    <sheetView zoomScale="110" zoomScaleNormal="110" workbookViewId="0">
      <pane xSplit="3" ySplit="6" topLeftCell="AU32" activePane="bottomRight" state="frozen"/>
      <selection pane="topRight" activeCell="D1" sqref="D1"/>
      <selection pane="bottomLeft" activeCell="A7" sqref="A7"/>
      <selection pane="bottomRight" activeCell="A34" sqref="A34:XFD49"/>
    </sheetView>
  </sheetViews>
  <sheetFormatPr baseColWidth="10" defaultColWidth="9.1640625" defaultRowHeight="15" x14ac:dyDescent="0.2"/>
  <cols>
    <col min="1" max="1" width="10.33203125" bestFit="1" customWidth="1"/>
    <col min="2" max="2" width="8.6640625" bestFit="1" customWidth="1"/>
    <col min="3" max="3" width="38.1640625" bestFit="1" customWidth="1"/>
    <col min="4" max="4" width="3.5" style="1" bestFit="1" customWidth="1"/>
    <col min="5" max="16" width="8.5" style="1" bestFit="1" customWidth="1"/>
    <col min="17" max="19" width="7.6640625" style="1" hidden="1" customWidth="1"/>
    <col min="20" max="26" width="8.5" style="1" bestFit="1" customWidth="1"/>
    <col min="27" max="27" width="7.6640625" style="1" hidden="1" customWidth="1"/>
    <col min="28" max="32" width="8.5" style="1" bestFit="1" customWidth="1"/>
    <col min="33" max="36" width="3.5" style="1" bestFit="1" customWidth="1"/>
    <col min="37" max="38" width="8.5" style="1" bestFit="1" customWidth="1"/>
    <col min="39" max="39" width="3.5" bestFit="1" customWidth="1"/>
    <col min="40" max="40" width="8.5" style="1" bestFit="1" customWidth="1"/>
    <col min="41" max="41" width="3.5" style="1" bestFit="1" customWidth="1"/>
    <col min="42" max="42" width="8.5" style="1" bestFit="1" customWidth="1"/>
    <col min="43" max="43" width="3.5" bestFit="1" customWidth="1"/>
    <col min="44" max="44" width="8.5" style="61" bestFit="1" customWidth="1"/>
    <col min="45" max="45" width="3.5" bestFit="1" customWidth="1"/>
    <col min="46" max="48" width="8.5" style="1" bestFit="1" customWidth="1"/>
    <col min="49" max="49" width="8.5" style="63" bestFit="1" customWidth="1"/>
    <col min="50" max="50" width="8.5" style="1" bestFit="1" customWidth="1"/>
    <col min="51" max="52" width="8.5" bestFit="1" customWidth="1"/>
    <col min="53" max="53" width="44.33203125" bestFit="1" customWidth="1"/>
    <col min="54" max="54" width="8.5" bestFit="1" customWidth="1"/>
    <col min="55" max="56" width="15" bestFit="1" customWidth="1"/>
    <col min="57" max="57" width="25.1640625" bestFit="1" customWidth="1"/>
    <col min="58" max="58" width="8.5" bestFit="1" customWidth="1"/>
    <col min="59" max="60" width="31" bestFit="1" customWidth="1"/>
    <col min="61" max="61" width="20.6640625" bestFit="1" customWidth="1"/>
    <col min="62" max="62" width="25.33203125" bestFit="1" customWidth="1"/>
    <col min="63" max="63" width="8.5" bestFit="1" customWidth="1"/>
    <col min="64" max="70" width="8.33203125" hidden="1" customWidth="1"/>
    <col min="71" max="71" width="8.5" bestFit="1" customWidth="1"/>
    <col min="72" max="72" width="42.83203125" bestFit="1" customWidth="1"/>
    <col min="73" max="73" width="44.33203125" bestFit="1" customWidth="1"/>
    <col min="74" max="74" width="39.33203125" bestFit="1" customWidth="1"/>
    <col min="75" max="75" width="8.5" bestFit="1" customWidth="1"/>
    <col min="76" max="76" width="10.6640625" bestFit="1" customWidth="1"/>
    <col min="77" max="77" width="7.5" bestFit="1" customWidth="1"/>
    <col min="78" max="78" width="28.83203125" bestFit="1" customWidth="1"/>
    <col min="79" max="79" width="8.5" customWidth="1"/>
    <col min="80" max="80" width="8" bestFit="1" customWidth="1"/>
    <col min="81" max="81" width="8.33203125" bestFit="1" customWidth="1"/>
    <col min="82" max="83" width="7.6640625" bestFit="1" customWidth="1"/>
    <col min="84" max="87" width="7.6640625" customWidth="1"/>
    <col min="88" max="94" width="7.6640625" style="1" customWidth="1"/>
    <col min="95" max="95" width="10.1640625" style="1" bestFit="1" customWidth="1"/>
    <col min="96" max="96" width="33" style="1" bestFit="1" customWidth="1"/>
    <col min="97" max="97" width="10.1640625" style="1" bestFit="1" customWidth="1"/>
    <col min="98" max="101" width="6.83203125" style="1" bestFit="1" customWidth="1"/>
    <col min="102" max="102" width="15.6640625" style="1" bestFit="1" customWidth="1"/>
  </cols>
  <sheetData>
    <row r="1" spans="1:105" ht="27" customHeight="1" x14ac:dyDescent="0.2">
      <c r="A1" s="148" t="s">
        <v>82</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72"/>
      <c r="CM1" s="72"/>
      <c r="CN1" s="72"/>
      <c r="CO1" s="72"/>
      <c r="CP1" s="72"/>
      <c r="CQ1" s="72"/>
      <c r="CR1" s="72"/>
      <c r="CS1" s="72"/>
      <c r="CT1" s="72"/>
      <c r="CU1" s="72"/>
      <c r="CV1" s="72"/>
      <c r="CW1" s="72"/>
      <c r="CX1" s="72"/>
    </row>
    <row r="2" spans="1:105" ht="20" thickBot="1" x14ac:dyDescent="0.3">
      <c r="A2" s="149" t="s">
        <v>141</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73"/>
      <c r="CM2" s="73"/>
      <c r="CN2" s="73"/>
      <c r="CO2" s="73"/>
      <c r="CP2" s="73"/>
      <c r="CQ2" s="73"/>
      <c r="CR2" s="73"/>
      <c r="CS2" s="73"/>
      <c r="CT2" s="73"/>
      <c r="CU2" s="73"/>
      <c r="CV2" s="73"/>
      <c r="CW2" s="73"/>
      <c r="CX2" s="73"/>
    </row>
    <row r="3" spans="1:105" ht="16" thickBot="1" x14ac:dyDescent="0.25">
      <c r="A3" s="20"/>
      <c r="B3" s="21"/>
      <c r="C3" s="22"/>
      <c r="D3" s="139" t="s">
        <v>1</v>
      </c>
      <c r="E3" s="140"/>
      <c r="F3" s="140"/>
      <c r="G3" s="140"/>
      <c r="H3" s="141"/>
      <c r="I3" s="142" t="s">
        <v>2</v>
      </c>
      <c r="J3" s="143"/>
      <c r="K3" s="143"/>
      <c r="L3" s="143"/>
      <c r="M3" s="143"/>
      <c r="N3" s="143"/>
      <c r="O3" s="143"/>
      <c r="P3" s="143"/>
      <c r="Q3" s="143"/>
      <c r="R3" s="143"/>
      <c r="S3" s="143"/>
      <c r="T3" s="143"/>
      <c r="U3" s="143"/>
      <c r="V3" s="143"/>
      <c r="W3" s="143"/>
      <c r="X3" s="143"/>
      <c r="Y3" s="144"/>
      <c r="Z3" s="139" t="s">
        <v>3</v>
      </c>
      <c r="AA3" s="141"/>
      <c r="AB3" s="26" t="s">
        <v>4</v>
      </c>
      <c r="AC3" s="93" t="s">
        <v>5</v>
      </c>
      <c r="AD3" s="94"/>
      <c r="AE3" s="94"/>
      <c r="AF3" s="94"/>
      <c r="AG3" s="94"/>
      <c r="AH3" s="94"/>
      <c r="AI3" s="94"/>
      <c r="AJ3" s="95"/>
      <c r="AK3" s="26" t="s">
        <v>6</v>
      </c>
      <c r="AL3" s="139" t="s">
        <v>7</v>
      </c>
      <c r="AM3" s="140"/>
      <c r="AN3" s="140"/>
      <c r="AO3" s="140"/>
      <c r="AP3" s="140"/>
      <c r="AQ3" s="140"/>
      <c r="AR3" s="140"/>
      <c r="AS3" s="140"/>
      <c r="AT3" s="140"/>
      <c r="AU3" s="140"/>
      <c r="AV3" s="141"/>
      <c r="AW3" s="153" t="s">
        <v>8</v>
      </c>
      <c r="AX3" s="154"/>
      <c r="AY3" s="154"/>
      <c r="AZ3" s="154"/>
      <c r="BA3" s="154"/>
      <c r="BB3" s="154"/>
      <c r="BC3" s="154"/>
      <c r="BD3" s="155"/>
      <c r="BE3" s="142" t="s">
        <v>9</v>
      </c>
      <c r="BF3" s="143"/>
      <c r="BG3" s="143"/>
      <c r="BH3" s="143"/>
      <c r="BI3" s="143"/>
      <c r="BJ3" s="143"/>
      <c r="BK3" s="143"/>
      <c r="BL3" s="143"/>
      <c r="BM3" s="143"/>
      <c r="BN3" s="143"/>
      <c r="BO3" s="143"/>
      <c r="BP3" s="143"/>
      <c r="BQ3" s="143"/>
      <c r="BR3" s="143"/>
      <c r="BS3" s="145" t="s">
        <v>10</v>
      </c>
      <c r="BT3" s="146"/>
      <c r="BU3" s="146"/>
      <c r="BV3" s="146"/>
      <c r="BW3" s="146"/>
      <c r="BX3" s="146"/>
      <c r="BY3" s="146"/>
      <c r="BZ3" s="146"/>
      <c r="CA3" s="146"/>
      <c r="CB3" s="146"/>
      <c r="CC3" s="146"/>
      <c r="CD3" s="146"/>
      <c r="CE3" s="146"/>
      <c r="CF3" s="34"/>
      <c r="CG3" s="34"/>
      <c r="CH3" s="34"/>
      <c r="CI3" s="34"/>
      <c r="CJ3" s="34"/>
      <c r="CK3" s="34"/>
      <c r="CL3"/>
      <c r="CM3"/>
      <c r="CN3"/>
      <c r="CO3"/>
      <c r="CP3"/>
      <c r="CQ3"/>
      <c r="CR3"/>
      <c r="CS3"/>
      <c r="CT3"/>
      <c r="CU3"/>
      <c r="CV3"/>
      <c r="CW3"/>
      <c r="CX3"/>
    </row>
    <row r="4" spans="1:105" ht="16" thickBot="1" x14ac:dyDescent="0.25">
      <c r="A4" s="23"/>
      <c r="B4" s="24"/>
      <c r="C4" s="25"/>
      <c r="D4" s="23"/>
      <c r="E4" s="24"/>
      <c r="F4" s="24"/>
      <c r="G4" s="24"/>
      <c r="H4" s="25"/>
      <c r="I4" s="86" t="s">
        <v>11</v>
      </c>
      <c r="J4" s="87"/>
      <c r="K4" s="87"/>
      <c r="L4" s="108"/>
      <c r="M4" s="88"/>
      <c r="N4" s="142" t="s">
        <v>88</v>
      </c>
      <c r="O4" s="143"/>
      <c r="P4" s="144"/>
      <c r="Q4" s="142" t="s">
        <v>13</v>
      </c>
      <c r="R4" s="143"/>
      <c r="S4" s="144"/>
      <c r="T4" s="142" t="s">
        <v>14</v>
      </c>
      <c r="U4" s="143"/>
      <c r="V4" s="143"/>
      <c r="W4" s="143"/>
      <c r="X4" s="143"/>
      <c r="Y4" s="144"/>
      <c r="Z4" s="23"/>
      <c r="AA4" s="25"/>
      <c r="AB4" s="27"/>
      <c r="AC4" s="23"/>
      <c r="AD4" s="24"/>
      <c r="AE4" s="24"/>
      <c r="AF4" s="24"/>
      <c r="AG4" s="24"/>
      <c r="AH4" s="24"/>
      <c r="AI4" s="24"/>
      <c r="AJ4" s="25"/>
      <c r="AK4" s="27"/>
      <c r="AL4" s="23"/>
      <c r="AM4" s="97"/>
      <c r="AN4" s="24"/>
      <c r="AO4" s="24"/>
      <c r="AP4" s="24"/>
      <c r="AQ4" s="97"/>
      <c r="AR4" s="24"/>
      <c r="AS4" s="24"/>
      <c r="AT4" s="24"/>
      <c r="AU4" s="24"/>
      <c r="AV4" s="25"/>
      <c r="AW4" s="23"/>
      <c r="AX4" s="24"/>
      <c r="AY4" s="24"/>
      <c r="AZ4" s="24"/>
      <c r="BA4" s="62"/>
      <c r="BB4" s="24"/>
      <c r="BC4" s="24"/>
      <c r="BD4" s="25"/>
      <c r="BE4" s="142" t="s">
        <v>15</v>
      </c>
      <c r="BF4" s="143"/>
      <c r="BG4" s="143"/>
      <c r="BH4" s="143"/>
      <c r="BI4" s="143"/>
      <c r="BJ4" s="143"/>
      <c r="BK4" s="144"/>
      <c r="BL4" s="142" t="s">
        <v>16</v>
      </c>
      <c r="BM4" s="143"/>
      <c r="BN4" s="143"/>
      <c r="BO4" s="143"/>
      <c r="BP4" s="143"/>
      <c r="BQ4" s="143"/>
      <c r="BR4" s="144"/>
      <c r="BS4" s="97"/>
      <c r="BT4" s="97"/>
      <c r="BU4" s="97"/>
      <c r="BV4" s="97"/>
      <c r="BW4" s="97"/>
      <c r="BX4" s="97"/>
      <c r="BY4" s="97"/>
      <c r="BZ4" s="97"/>
      <c r="CA4" s="97"/>
      <c r="CB4" s="97"/>
      <c r="CC4" s="97"/>
      <c r="CD4" s="97"/>
      <c r="CE4" s="98"/>
      <c r="CF4" s="80"/>
      <c r="CG4" s="80"/>
      <c r="CH4" s="34"/>
      <c r="CI4" s="34"/>
      <c r="CJ4" s="34"/>
      <c r="CK4" s="34"/>
      <c r="CL4" s="34"/>
      <c r="CM4" s="34"/>
      <c r="CN4"/>
      <c r="CO4"/>
      <c r="CP4"/>
      <c r="CQ4"/>
      <c r="CR4"/>
      <c r="CS4"/>
      <c r="CT4"/>
      <c r="CU4"/>
      <c r="CV4"/>
      <c r="CW4"/>
      <c r="CX4"/>
    </row>
    <row r="5" spans="1:105" ht="6.75" customHeight="1" thickBot="1" x14ac:dyDescent="0.25">
      <c r="AR5" s="63"/>
      <c r="AS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Y5" s="1"/>
      <c r="CZ5" s="1"/>
      <c r="DA5" s="1"/>
    </row>
    <row r="6" spans="1:105" s="2" customFormat="1" ht="213" thickBot="1" x14ac:dyDescent="0.25">
      <c r="A6" s="6" t="s">
        <v>17</v>
      </c>
      <c r="B6" s="7" t="s">
        <v>18</v>
      </c>
      <c r="C6" s="8" t="s">
        <v>19</v>
      </c>
      <c r="D6" s="3" t="s">
        <v>20</v>
      </c>
      <c r="E6" s="4" t="s">
        <v>21</v>
      </c>
      <c r="F6" s="4" t="s">
        <v>22</v>
      </c>
      <c r="G6" s="4" t="s">
        <v>23</v>
      </c>
      <c r="H6" s="4" t="s">
        <v>24</v>
      </c>
      <c r="I6" s="9" t="s">
        <v>25</v>
      </c>
      <c r="J6" s="10" t="s">
        <v>126</v>
      </c>
      <c r="K6" s="10" t="s">
        <v>127</v>
      </c>
      <c r="L6" s="10" t="s">
        <v>128</v>
      </c>
      <c r="M6" s="11" t="s">
        <v>129</v>
      </c>
      <c r="N6" s="10" t="s">
        <v>26</v>
      </c>
      <c r="O6" s="10" t="s">
        <v>27</v>
      </c>
      <c r="P6" s="11" t="s">
        <v>28</v>
      </c>
      <c r="Q6" s="9" t="s">
        <v>29</v>
      </c>
      <c r="R6" s="10" t="s">
        <v>30</v>
      </c>
      <c r="S6" s="11" t="s">
        <v>31</v>
      </c>
      <c r="T6" s="9" t="s">
        <v>32</v>
      </c>
      <c r="U6" s="10" t="s">
        <v>33</v>
      </c>
      <c r="V6" s="10" t="s">
        <v>34</v>
      </c>
      <c r="W6" s="12" t="s">
        <v>35</v>
      </c>
      <c r="X6" s="12" t="s">
        <v>36</v>
      </c>
      <c r="Y6" s="13" t="s">
        <v>37</v>
      </c>
      <c r="Z6" s="9" t="s">
        <v>15</v>
      </c>
      <c r="AA6" s="11" t="s">
        <v>16</v>
      </c>
      <c r="AB6" s="10" t="s">
        <v>110</v>
      </c>
      <c r="AC6" s="9" t="s">
        <v>38</v>
      </c>
      <c r="AD6" s="10" t="s">
        <v>111</v>
      </c>
      <c r="AE6" s="10" t="s">
        <v>39</v>
      </c>
      <c r="AF6" s="10" t="s">
        <v>40</v>
      </c>
      <c r="AG6" s="92" t="s">
        <v>112</v>
      </c>
      <c r="AH6" s="92" t="s">
        <v>113</v>
      </c>
      <c r="AI6" s="92" t="s">
        <v>114</v>
      </c>
      <c r="AJ6" s="99" t="s">
        <v>115</v>
      </c>
      <c r="AK6" s="14" t="s">
        <v>41</v>
      </c>
      <c r="AL6" s="9" t="s">
        <v>42</v>
      </c>
      <c r="AM6" s="92" t="s">
        <v>122</v>
      </c>
      <c r="AN6" s="10" t="s">
        <v>43</v>
      </c>
      <c r="AO6" s="92" t="s">
        <v>123</v>
      </c>
      <c r="AP6" s="10" t="s">
        <v>45</v>
      </c>
      <c r="AQ6" s="92" t="s">
        <v>124</v>
      </c>
      <c r="AR6" s="10" t="s">
        <v>44</v>
      </c>
      <c r="AS6" s="92" t="s">
        <v>125</v>
      </c>
      <c r="AT6" s="10" t="s">
        <v>116</v>
      </c>
      <c r="AU6" s="10" t="s">
        <v>117</v>
      </c>
      <c r="AV6" s="120" t="s">
        <v>118</v>
      </c>
      <c r="AW6" s="9" t="s">
        <v>46</v>
      </c>
      <c r="AX6" s="10" t="s">
        <v>47</v>
      </c>
      <c r="AY6" s="10" t="s">
        <v>48</v>
      </c>
      <c r="AZ6" s="10" t="s">
        <v>49</v>
      </c>
      <c r="BA6" s="96" t="s">
        <v>50</v>
      </c>
      <c r="BB6" s="10" t="s">
        <v>51</v>
      </c>
      <c r="BC6" s="10" t="s">
        <v>52</v>
      </c>
      <c r="BD6" s="10" t="s">
        <v>108</v>
      </c>
      <c r="BE6" s="9" t="s">
        <v>53</v>
      </c>
      <c r="BF6" s="10" t="s">
        <v>54</v>
      </c>
      <c r="BG6" s="10" t="s">
        <v>55</v>
      </c>
      <c r="BH6" s="10" t="s">
        <v>56</v>
      </c>
      <c r="BI6" s="10" t="s">
        <v>57</v>
      </c>
      <c r="BJ6" s="10" t="s">
        <v>58</v>
      </c>
      <c r="BK6" s="11" t="s">
        <v>59</v>
      </c>
      <c r="BL6" s="9" t="s">
        <v>60</v>
      </c>
      <c r="BM6" s="10" t="s">
        <v>61</v>
      </c>
      <c r="BN6" s="10" t="s">
        <v>62</v>
      </c>
      <c r="BO6" s="10" t="s">
        <v>63</v>
      </c>
      <c r="BP6" s="10" t="s">
        <v>64</v>
      </c>
      <c r="BQ6" s="10" t="s">
        <v>65</v>
      </c>
      <c r="BR6" s="10" t="s">
        <v>66</v>
      </c>
      <c r="BS6" s="9" t="s">
        <v>70</v>
      </c>
      <c r="BT6" s="10" t="s">
        <v>67</v>
      </c>
      <c r="BU6" s="10" t="s">
        <v>68</v>
      </c>
      <c r="BV6" s="10" t="s">
        <v>69</v>
      </c>
      <c r="BW6" s="11" t="s">
        <v>71</v>
      </c>
      <c r="BX6" t="s">
        <v>341</v>
      </c>
    </row>
    <row r="7" spans="1:105" ht="16" x14ac:dyDescent="0.2">
      <c r="A7" t="s">
        <v>135</v>
      </c>
      <c r="B7" t="s">
        <v>354</v>
      </c>
      <c r="C7" t="s">
        <v>355</v>
      </c>
      <c r="D7" s="1" t="s">
        <v>73</v>
      </c>
      <c r="E7" s="1" t="s">
        <v>72</v>
      </c>
      <c r="F7" s="1" t="s">
        <v>72</v>
      </c>
      <c r="G7" s="1" t="s">
        <v>73</v>
      </c>
      <c r="I7" s="1">
        <v>5</v>
      </c>
      <c r="J7"/>
      <c r="K7"/>
      <c r="M7"/>
      <c r="Q7" s="1" t="s">
        <v>73</v>
      </c>
      <c r="R7" s="1" t="s">
        <v>73</v>
      </c>
      <c r="S7" s="1" t="s">
        <v>73</v>
      </c>
      <c r="T7"/>
      <c r="U7"/>
      <c r="V7"/>
      <c r="W7"/>
      <c r="X7"/>
      <c r="Y7"/>
      <c r="Z7" s="1" t="s">
        <v>73</v>
      </c>
      <c r="AA7" s="1" t="s">
        <v>73</v>
      </c>
      <c r="AB7"/>
      <c r="AC7"/>
      <c r="AD7"/>
      <c r="AE7"/>
      <c r="AF7"/>
      <c r="AG7"/>
      <c r="AH7"/>
      <c r="AI7"/>
      <c r="AJ7"/>
      <c r="AK7" s="1" t="s">
        <v>73</v>
      </c>
      <c r="AL7" s="1" t="s">
        <v>72</v>
      </c>
      <c r="AM7">
        <v>6</v>
      </c>
      <c r="AN7" s="1" t="s">
        <v>73</v>
      </c>
      <c r="AO7"/>
      <c r="AP7" s="1" t="s">
        <v>73</v>
      </c>
      <c r="AR7" s="1" t="s">
        <v>72</v>
      </c>
      <c r="AS7">
        <v>6</v>
      </c>
      <c r="AT7" s="1" t="s">
        <v>73</v>
      </c>
      <c r="AW7" s="1">
        <v>25</v>
      </c>
      <c r="AX7" s="1">
        <v>1</v>
      </c>
      <c r="AY7" t="s">
        <v>73</v>
      </c>
      <c r="AZ7" t="s">
        <v>73</v>
      </c>
      <c r="BA7" s="61" t="s">
        <v>73</v>
      </c>
      <c r="BB7">
        <v>1984</v>
      </c>
      <c r="BC7" s="85">
        <v>45657.489976851852</v>
      </c>
      <c r="BD7" s="85">
        <v>45657.448310185187</v>
      </c>
      <c r="BE7" t="s">
        <v>73</v>
      </c>
      <c r="BF7" t="s">
        <v>73</v>
      </c>
      <c r="BG7" t="s">
        <v>73</v>
      </c>
      <c r="BH7" t="s">
        <v>73</v>
      </c>
      <c r="BI7" t="s">
        <v>73</v>
      </c>
      <c r="BJ7" t="s">
        <v>73</v>
      </c>
      <c r="BL7" t="s">
        <v>73</v>
      </c>
      <c r="BM7" t="s">
        <v>73</v>
      </c>
      <c r="BN7" t="s">
        <v>73</v>
      </c>
      <c r="BO7" t="s">
        <v>73</v>
      </c>
      <c r="BP7" t="s">
        <v>73</v>
      </c>
      <c r="BQ7" s="1" t="s">
        <v>73</v>
      </c>
      <c r="BS7" s="1" t="s">
        <v>73</v>
      </c>
      <c r="BT7" s="1" t="s">
        <v>369</v>
      </c>
      <c r="BU7" s="1" t="s">
        <v>369</v>
      </c>
      <c r="BV7" s="1" t="s">
        <v>369</v>
      </c>
      <c r="BX7" t="s">
        <v>73</v>
      </c>
      <c r="BY7" s="1"/>
      <c r="CJ7"/>
      <c r="CK7"/>
      <c r="CL7"/>
      <c r="CM7"/>
      <c r="CN7"/>
      <c r="CO7"/>
      <c r="CP7"/>
      <c r="CQ7"/>
      <c r="CR7"/>
      <c r="CS7"/>
      <c r="CT7"/>
      <c r="CU7"/>
      <c r="CV7"/>
      <c r="CW7"/>
      <c r="CX7"/>
    </row>
    <row r="8" spans="1:105" ht="16" x14ac:dyDescent="0.2">
      <c r="A8" t="s">
        <v>135</v>
      </c>
      <c r="B8" t="s">
        <v>326</v>
      </c>
      <c r="C8" t="s">
        <v>327</v>
      </c>
      <c r="D8" s="1" t="s">
        <v>73</v>
      </c>
      <c r="E8" s="1" t="s">
        <v>72</v>
      </c>
      <c r="F8" s="1" t="s">
        <v>72</v>
      </c>
      <c r="G8" s="1" t="s">
        <v>72</v>
      </c>
      <c r="H8" s="1" t="s">
        <v>74</v>
      </c>
      <c r="I8" s="1">
        <v>7</v>
      </c>
      <c r="J8"/>
      <c r="K8"/>
      <c r="M8"/>
      <c r="N8" s="1">
        <v>7</v>
      </c>
      <c r="Q8" s="1" t="s">
        <v>73</v>
      </c>
      <c r="R8" s="1" t="s">
        <v>73</v>
      </c>
      <c r="S8" s="1" t="s">
        <v>73</v>
      </c>
      <c r="T8">
        <v>2</v>
      </c>
      <c r="U8"/>
      <c r="V8"/>
      <c r="W8">
        <v>2</v>
      </c>
      <c r="X8"/>
      <c r="Y8"/>
      <c r="Z8" s="1" t="s">
        <v>72</v>
      </c>
      <c r="AA8" s="1" t="s">
        <v>73</v>
      </c>
      <c r="AB8">
        <v>4</v>
      </c>
      <c r="AC8">
        <v>1</v>
      </c>
      <c r="AD8"/>
      <c r="AE8"/>
      <c r="AF8"/>
      <c r="AG8">
        <v>1</v>
      </c>
      <c r="AH8"/>
      <c r="AI8"/>
      <c r="AJ8"/>
      <c r="AK8" s="1" t="s">
        <v>73</v>
      </c>
      <c r="AL8" s="1" t="s">
        <v>72</v>
      </c>
      <c r="AM8">
        <v>6</v>
      </c>
      <c r="AN8" s="1" t="s">
        <v>72</v>
      </c>
      <c r="AO8">
        <v>3</v>
      </c>
      <c r="AP8" s="1" t="s">
        <v>72</v>
      </c>
      <c r="AQ8">
        <v>6</v>
      </c>
      <c r="AR8" s="1" t="s">
        <v>73</v>
      </c>
      <c r="AT8" s="1" t="s">
        <v>73</v>
      </c>
      <c r="AW8" s="1">
        <v>33</v>
      </c>
      <c r="AX8" s="1">
        <v>0</v>
      </c>
      <c r="AY8" t="s">
        <v>73</v>
      </c>
      <c r="AZ8" t="s">
        <v>73</v>
      </c>
      <c r="BA8" s="61" t="s">
        <v>73</v>
      </c>
      <c r="BB8">
        <v>1965</v>
      </c>
      <c r="BC8" s="85">
        <v>45655.548738425925</v>
      </c>
      <c r="BD8" s="85">
        <v>45655.507071759261</v>
      </c>
      <c r="BE8" t="s">
        <v>327</v>
      </c>
      <c r="BF8" t="s">
        <v>78</v>
      </c>
      <c r="BG8" t="s">
        <v>215</v>
      </c>
      <c r="BH8" t="s">
        <v>77</v>
      </c>
      <c r="BI8" t="s">
        <v>332</v>
      </c>
      <c r="BJ8" t="s">
        <v>333</v>
      </c>
      <c r="BK8">
        <v>20</v>
      </c>
      <c r="BL8" t="s">
        <v>73</v>
      </c>
      <c r="BM8" t="s">
        <v>73</v>
      </c>
      <c r="BN8" t="s">
        <v>73</v>
      </c>
      <c r="BO8" t="s">
        <v>73</v>
      </c>
      <c r="BP8" t="s">
        <v>73</v>
      </c>
      <c r="BQ8" s="1" t="s">
        <v>73</v>
      </c>
      <c r="BS8" s="1" t="s">
        <v>75</v>
      </c>
      <c r="BT8" s="1" t="s">
        <v>387</v>
      </c>
      <c r="BU8" s="1" t="s">
        <v>388</v>
      </c>
      <c r="BV8" s="1" t="s">
        <v>389</v>
      </c>
      <c r="BW8">
        <v>12</v>
      </c>
      <c r="BX8" t="s">
        <v>73</v>
      </c>
      <c r="CJ8"/>
      <c r="CK8"/>
      <c r="CL8"/>
      <c r="CM8"/>
      <c r="CN8"/>
      <c r="CO8"/>
      <c r="CP8"/>
      <c r="CQ8"/>
      <c r="CR8"/>
      <c r="CS8"/>
      <c r="CT8"/>
      <c r="CU8"/>
      <c r="CV8"/>
      <c r="CW8"/>
      <c r="CX8"/>
    </row>
    <row r="9" spans="1:105" ht="16" x14ac:dyDescent="0.2">
      <c r="A9" t="s">
        <v>135</v>
      </c>
      <c r="B9" t="s">
        <v>323</v>
      </c>
      <c r="C9" t="s">
        <v>324</v>
      </c>
      <c r="D9" s="1" t="s">
        <v>73</v>
      </c>
      <c r="E9" s="1" t="s">
        <v>72</v>
      </c>
      <c r="F9" s="1" t="s">
        <v>72</v>
      </c>
      <c r="G9" s="1" t="s">
        <v>73</v>
      </c>
      <c r="I9" s="1">
        <v>3</v>
      </c>
      <c r="J9"/>
      <c r="K9"/>
      <c r="M9"/>
      <c r="Q9" s="1" t="s">
        <v>73</v>
      </c>
      <c r="R9" s="1" t="s">
        <v>73</v>
      </c>
      <c r="S9" s="1" t="s">
        <v>73</v>
      </c>
      <c r="T9"/>
      <c r="U9"/>
      <c r="V9"/>
      <c r="W9"/>
      <c r="X9"/>
      <c r="Y9"/>
      <c r="Z9" s="1" t="s">
        <v>73</v>
      </c>
      <c r="AA9" s="1" t="s">
        <v>73</v>
      </c>
      <c r="AB9"/>
      <c r="AC9"/>
      <c r="AD9"/>
      <c r="AE9"/>
      <c r="AF9"/>
      <c r="AG9"/>
      <c r="AH9"/>
      <c r="AI9"/>
      <c r="AJ9"/>
      <c r="AK9" s="1" t="s">
        <v>73</v>
      </c>
      <c r="AL9" s="1" t="s">
        <v>72</v>
      </c>
      <c r="AM9">
        <v>6</v>
      </c>
      <c r="AN9" s="1" t="s">
        <v>72</v>
      </c>
      <c r="AO9">
        <v>6</v>
      </c>
      <c r="AP9" s="1" t="s">
        <v>73</v>
      </c>
      <c r="AR9" s="1" t="s">
        <v>72</v>
      </c>
      <c r="AS9">
        <v>6</v>
      </c>
      <c r="AT9" s="1" t="s">
        <v>73</v>
      </c>
      <c r="AW9" s="1">
        <v>25</v>
      </c>
      <c r="AX9" s="1">
        <v>0</v>
      </c>
      <c r="AY9" t="s">
        <v>73</v>
      </c>
      <c r="AZ9" t="s">
        <v>73</v>
      </c>
      <c r="BA9" s="61" t="s">
        <v>73</v>
      </c>
      <c r="BB9">
        <v>1961</v>
      </c>
      <c r="BC9" s="85">
        <v>45655.481435185182</v>
      </c>
      <c r="BD9" s="85">
        <v>45655.439768518518</v>
      </c>
      <c r="BE9" t="s">
        <v>73</v>
      </c>
      <c r="BF9" t="s">
        <v>73</v>
      </c>
      <c r="BG9" t="s">
        <v>73</v>
      </c>
      <c r="BH9" t="s">
        <v>73</v>
      </c>
      <c r="BI9" t="s">
        <v>73</v>
      </c>
      <c r="BJ9" t="s">
        <v>73</v>
      </c>
      <c r="BL9" t="s">
        <v>73</v>
      </c>
      <c r="BM9" t="s">
        <v>73</v>
      </c>
      <c r="BN9" t="s">
        <v>73</v>
      </c>
      <c r="BO9" t="s">
        <v>73</v>
      </c>
      <c r="BP9" t="s">
        <v>73</v>
      </c>
      <c r="BQ9" s="1" t="s">
        <v>73</v>
      </c>
      <c r="BS9" s="1" t="s">
        <v>73</v>
      </c>
      <c r="BT9" s="1" t="s">
        <v>369</v>
      </c>
      <c r="BU9" s="1" t="s">
        <v>369</v>
      </c>
      <c r="BV9" s="1" t="s">
        <v>369</v>
      </c>
      <c r="BX9" t="s">
        <v>73</v>
      </c>
      <c r="CC9" s="1"/>
      <c r="CD9" s="1"/>
      <c r="CJ9"/>
      <c r="CK9"/>
      <c r="CL9"/>
      <c r="CM9"/>
      <c r="CN9"/>
      <c r="CO9"/>
      <c r="CP9"/>
      <c r="CQ9"/>
      <c r="CR9"/>
      <c r="CS9"/>
      <c r="CT9"/>
      <c r="CU9"/>
      <c r="CV9"/>
      <c r="CW9"/>
      <c r="CX9"/>
    </row>
    <row r="10" spans="1:105" ht="16" x14ac:dyDescent="0.2">
      <c r="A10" t="s">
        <v>135</v>
      </c>
      <c r="B10" t="s">
        <v>269</v>
      </c>
      <c r="C10" t="s">
        <v>270</v>
      </c>
      <c r="D10" s="1" t="s">
        <v>72</v>
      </c>
      <c r="E10" s="1" t="s">
        <v>73</v>
      </c>
      <c r="F10" s="1" t="s">
        <v>73</v>
      </c>
      <c r="G10" s="1" t="s">
        <v>73</v>
      </c>
      <c r="J10"/>
      <c r="K10"/>
      <c r="M10"/>
      <c r="Q10" s="1" t="s">
        <v>73</v>
      </c>
      <c r="R10" s="1" t="s">
        <v>73</v>
      </c>
      <c r="S10" s="1" t="s">
        <v>73</v>
      </c>
      <c r="T10"/>
      <c r="U10"/>
      <c r="V10"/>
      <c r="W10"/>
      <c r="X10"/>
      <c r="Y10"/>
      <c r="Z10" s="1" t="s">
        <v>73</v>
      </c>
      <c r="AA10" s="1" t="s">
        <v>73</v>
      </c>
      <c r="AB10"/>
      <c r="AC10"/>
      <c r="AD10"/>
      <c r="AE10"/>
      <c r="AF10"/>
      <c r="AG10"/>
      <c r="AH10"/>
      <c r="AI10"/>
      <c r="AJ10"/>
      <c r="AK10" s="1" t="s">
        <v>73</v>
      </c>
      <c r="AL10" s="1" t="s">
        <v>73</v>
      </c>
      <c r="AN10" s="1" t="s">
        <v>73</v>
      </c>
      <c r="AO10"/>
      <c r="AP10" s="1" t="s">
        <v>73</v>
      </c>
      <c r="AR10" s="1" t="s">
        <v>73</v>
      </c>
      <c r="AT10" s="1" t="s">
        <v>73</v>
      </c>
      <c r="AW10" s="1">
        <v>10</v>
      </c>
      <c r="AX10" s="1">
        <v>0</v>
      </c>
      <c r="AY10" t="s">
        <v>73</v>
      </c>
      <c r="AZ10" t="s">
        <v>73</v>
      </c>
      <c r="BA10" s="61" t="s">
        <v>73</v>
      </c>
      <c r="BB10">
        <v>1943</v>
      </c>
      <c r="BC10" s="85">
        <v>45653.471585648149</v>
      </c>
      <c r="BD10" s="85">
        <v>45653.429918981485</v>
      </c>
      <c r="BE10" t="s">
        <v>73</v>
      </c>
      <c r="BF10" t="s">
        <v>73</v>
      </c>
      <c r="BG10" t="s">
        <v>73</v>
      </c>
      <c r="BH10" t="s">
        <v>73</v>
      </c>
      <c r="BI10" t="s">
        <v>73</v>
      </c>
      <c r="BJ10" t="s">
        <v>73</v>
      </c>
      <c r="BL10" t="s">
        <v>73</v>
      </c>
      <c r="BM10" t="s">
        <v>73</v>
      </c>
      <c r="BN10" t="s">
        <v>73</v>
      </c>
      <c r="BO10" t="s">
        <v>73</v>
      </c>
      <c r="BP10" t="s">
        <v>73</v>
      </c>
      <c r="BQ10" s="1" t="s">
        <v>73</v>
      </c>
      <c r="BS10" s="1" t="s">
        <v>73</v>
      </c>
      <c r="BT10" s="1" t="s">
        <v>369</v>
      </c>
      <c r="BU10" s="1" t="s">
        <v>369</v>
      </c>
      <c r="BV10" s="1" t="s">
        <v>369</v>
      </c>
      <c r="BX10" t="s">
        <v>73</v>
      </c>
      <c r="CJ10"/>
      <c r="CK10"/>
      <c r="CL10"/>
      <c r="CM10"/>
      <c r="CN10"/>
      <c r="CO10"/>
      <c r="CP10"/>
      <c r="CQ10"/>
      <c r="CR10"/>
      <c r="CS10"/>
      <c r="CT10"/>
      <c r="CU10"/>
      <c r="CV10"/>
      <c r="CW10"/>
      <c r="CX10"/>
    </row>
    <row r="11" spans="1:105" ht="112" x14ac:dyDescent="0.2">
      <c r="A11" t="s">
        <v>135</v>
      </c>
      <c r="B11" t="s">
        <v>295</v>
      </c>
      <c r="C11" t="s">
        <v>296</v>
      </c>
      <c r="D11" s="1" t="s">
        <v>73</v>
      </c>
      <c r="E11" s="1" t="s">
        <v>72</v>
      </c>
      <c r="F11" s="1" t="s">
        <v>73</v>
      </c>
      <c r="G11" s="1" t="s">
        <v>73</v>
      </c>
      <c r="I11" s="1">
        <v>8</v>
      </c>
      <c r="J11"/>
      <c r="K11"/>
      <c r="M11"/>
      <c r="Q11" s="1" t="s">
        <v>73</v>
      </c>
      <c r="R11" s="1" t="s">
        <v>73</v>
      </c>
      <c r="S11" s="1" t="s">
        <v>73</v>
      </c>
      <c r="T11"/>
      <c r="U11"/>
      <c r="V11"/>
      <c r="W11"/>
      <c r="X11"/>
      <c r="Y11"/>
      <c r="Z11" s="1" t="s">
        <v>73</v>
      </c>
      <c r="AA11" s="1" t="s">
        <v>73</v>
      </c>
      <c r="AB11"/>
      <c r="AC11"/>
      <c r="AD11"/>
      <c r="AE11"/>
      <c r="AF11"/>
      <c r="AG11"/>
      <c r="AH11"/>
      <c r="AI11"/>
      <c r="AJ11"/>
      <c r="AK11" s="1" t="s">
        <v>73</v>
      </c>
      <c r="AL11" s="1" t="s">
        <v>73</v>
      </c>
      <c r="AN11" s="1" t="s">
        <v>73</v>
      </c>
      <c r="AO11"/>
      <c r="AP11" s="1" t="s">
        <v>73</v>
      </c>
      <c r="AR11" s="1" t="s">
        <v>73</v>
      </c>
      <c r="AT11" s="1" t="s">
        <v>73</v>
      </c>
      <c r="AW11" s="1">
        <v>9</v>
      </c>
      <c r="AX11" s="1">
        <v>0</v>
      </c>
      <c r="AY11" t="s">
        <v>73</v>
      </c>
      <c r="AZ11" t="s">
        <v>73</v>
      </c>
      <c r="BA11" s="61" t="s">
        <v>398</v>
      </c>
      <c r="BB11">
        <v>1932</v>
      </c>
      <c r="BC11" s="85">
        <v>45652.580729166664</v>
      </c>
      <c r="BD11" s="85">
        <v>45658.736087962963</v>
      </c>
      <c r="BE11" t="s">
        <v>73</v>
      </c>
      <c r="BF11" t="s">
        <v>73</v>
      </c>
      <c r="BG11" t="s">
        <v>73</v>
      </c>
      <c r="BH11" t="s">
        <v>73</v>
      </c>
      <c r="BI11" t="s">
        <v>73</v>
      </c>
      <c r="BJ11" t="s">
        <v>73</v>
      </c>
      <c r="BL11" t="s">
        <v>73</v>
      </c>
      <c r="BM11" t="s">
        <v>73</v>
      </c>
      <c r="BN11" t="s">
        <v>73</v>
      </c>
      <c r="BO11" t="s">
        <v>73</v>
      </c>
      <c r="BP11" t="s">
        <v>73</v>
      </c>
      <c r="BQ11" s="1" t="s">
        <v>73</v>
      </c>
      <c r="BS11" s="1" t="s">
        <v>73</v>
      </c>
      <c r="BT11" s="1" t="s">
        <v>369</v>
      </c>
      <c r="BU11" s="1" t="s">
        <v>369</v>
      </c>
      <c r="BV11" s="1" t="s">
        <v>369</v>
      </c>
      <c r="BX11" t="s">
        <v>73</v>
      </c>
      <c r="CC11" s="1"/>
      <c r="CD11" s="1"/>
      <c r="CJ11"/>
      <c r="CK11"/>
      <c r="CL11"/>
      <c r="CM11"/>
      <c r="CN11"/>
      <c r="CO11"/>
      <c r="CP11"/>
      <c r="CQ11"/>
      <c r="CR11"/>
      <c r="CS11"/>
      <c r="CT11"/>
      <c r="CU11"/>
      <c r="CV11"/>
      <c r="CW11"/>
      <c r="CX11"/>
    </row>
    <row r="12" spans="1:105" ht="16" x14ac:dyDescent="0.2">
      <c r="A12" t="s">
        <v>135</v>
      </c>
      <c r="B12" t="s">
        <v>288</v>
      </c>
      <c r="C12" t="s">
        <v>289</v>
      </c>
      <c r="D12" s="1" t="s">
        <v>72</v>
      </c>
      <c r="E12" s="1" t="s">
        <v>73</v>
      </c>
      <c r="F12" s="1" t="s">
        <v>73</v>
      </c>
      <c r="G12" s="1" t="s">
        <v>73</v>
      </c>
      <c r="J12"/>
      <c r="K12"/>
      <c r="M12"/>
      <c r="Q12" s="1" t="s">
        <v>73</v>
      </c>
      <c r="R12" s="1" t="s">
        <v>73</v>
      </c>
      <c r="S12" s="1" t="s">
        <v>73</v>
      </c>
      <c r="T12"/>
      <c r="U12"/>
      <c r="V12"/>
      <c r="W12"/>
      <c r="X12"/>
      <c r="Y12"/>
      <c r="Z12" s="1" t="s">
        <v>73</v>
      </c>
      <c r="AA12" s="1" t="s">
        <v>73</v>
      </c>
      <c r="AB12"/>
      <c r="AC12"/>
      <c r="AD12"/>
      <c r="AE12"/>
      <c r="AF12"/>
      <c r="AG12"/>
      <c r="AH12"/>
      <c r="AI12"/>
      <c r="AJ12"/>
      <c r="AK12" s="1" t="s">
        <v>73</v>
      </c>
      <c r="AL12" s="1" t="s">
        <v>73</v>
      </c>
      <c r="AN12" s="1" t="s">
        <v>73</v>
      </c>
      <c r="AO12"/>
      <c r="AP12" s="1" t="s">
        <v>73</v>
      </c>
      <c r="AR12" s="1" t="s">
        <v>73</v>
      </c>
      <c r="AT12" s="1" t="s">
        <v>73</v>
      </c>
      <c r="AW12" s="1">
        <v>10</v>
      </c>
      <c r="AX12" s="1">
        <v>0</v>
      </c>
      <c r="AY12" t="s">
        <v>73</v>
      </c>
      <c r="AZ12" t="s">
        <v>73</v>
      </c>
      <c r="BA12" s="61" t="s">
        <v>73</v>
      </c>
      <c r="BB12">
        <v>1931</v>
      </c>
      <c r="BC12" s="85">
        <v>45652.55159722222</v>
      </c>
      <c r="BD12" s="85">
        <v>45652.509930555556</v>
      </c>
      <c r="BE12" t="s">
        <v>73</v>
      </c>
      <c r="BF12" t="s">
        <v>73</v>
      </c>
      <c r="BG12" t="s">
        <v>73</v>
      </c>
      <c r="BH12" t="s">
        <v>73</v>
      </c>
      <c r="BI12" t="s">
        <v>73</v>
      </c>
      <c r="BJ12" t="s">
        <v>73</v>
      </c>
      <c r="BL12" t="s">
        <v>73</v>
      </c>
      <c r="BM12" t="s">
        <v>73</v>
      </c>
      <c r="BN12" t="s">
        <v>73</v>
      </c>
      <c r="BO12" t="s">
        <v>73</v>
      </c>
      <c r="BP12" t="s">
        <v>73</v>
      </c>
      <c r="BQ12" s="1" t="s">
        <v>73</v>
      </c>
      <c r="BS12" s="1" t="s">
        <v>73</v>
      </c>
      <c r="BT12" s="1" t="s">
        <v>369</v>
      </c>
      <c r="BU12" s="1" t="s">
        <v>369</v>
      </c>
      <c r="BV12" s="1" t="s">
        <v>369</v>
      </c>
      <c r="BX12" t="s">
        <v>73</v>
      </c>
      <c r="CC12" s="1"/>
      <c r="CD12" s="1"/>
      <c r="CJ12"/>
      <c r="CK12"/>
      <c r="CL12"/>
      <c r="CM12"/>
      <c r="CN12"/>
      <c r="CO12"/>
      <c r="CP12"/>
      <c r="CQ12"/>
      <c r="CR12"/>
      <c r="CS12"/>
      <c r="CT12"/>
      <c r="CU12"/>
      <c r="CV12"/>
      <c r="CW12"/>
      <c r="CX12"/>
    </row>
    <row r="13" spans="1:105" ht="16" x14ac:dyDescent="0.2">
      <c r="A13" t="s">
        <v>135</v>
      </c>
      <c r="B13" t="s">
        <v>254</v>
      </c>
      <c r="C13" t="s">
        <v>255</v>
      </c>
      <c r="D13" s="1" t="s">
        <v>73</v>
      </c>
      <c r="E13" s="1" t="s">
        <v>72</v>
      </c>
      <c r="F13" s="1" t="s">
        <v>72</v>
      </c>
      <c r="G13" s="1" t="s">
        <v>73</v>
      </c>
      <c r="I13" s="1">
        <v>6</v>
      </c>
      <c r="J13"/>
      <c r="K13"/>
      <c r="M13"/>
      <c r="Q13" s="1" t="s">
        <v>73</v>
      </c>
      <c r="R13" s="1" t="s">
        <v>73</v>
      </c>
      <c r="S13" s="1" t="s">
        <v>73</v>
      </c>
      <c r="T13"/>
      <c r="U13"/>
      <c r="V13"/>
      <c r="W13"/>
      <c r="X13"/>
      <c r="Y13"/>
      <c r="Z13" s="1" t="s">
        <v>72</v>
      </c>
      <c r="AA13" s="1" t="s">
        <v>73</v>
      </c>
      <c r="AB13"/>
      <c r="AC13"/>
      <c r="AD13"/>
      <c r="AE13"/>
      <c r="AF13"/>
      <c r="AG13"/>
      <c r="AH13"/>
      <c r="AI13"/>
      <c r="AJ13"/>
      <c r="AK13" s="1" t="s">
        <v>73</v>
      </c>
      <c r="AL13" s="1" t="s">
        <v>72</v>
      </c>
      <c r="AM13">
        <v>6</v>
      </c>
      <c r="AN13" s="1" t="s">
        <v>72</v>
      </c>
      <c r="AO13">
        <v>6</v>
      </c>
      <c r="AP13" s="1" t="s">
        <v>73</v>
      </c>
      <c r="AR13" s="1" t="s">
        <v>72</v>
      </c>
      <c r="AS13">
        <v>6</v>
      </c>
      <c r="AT13" s="1" t="s">
        <v>73</v>
      </c>
      <c r="AW13" s="1">
        <v>64</v>
      </c>
      <c r="AX13" s="1">
        <v>4</v>
      </c>
      <c r="AY13" t="s">
        <v>72</v>
      </c>
      <c r="AZ13" t="s">
        <v>73</v>
      </c>
      <c r="BA13" s="61" t="s">
        <v>73</v>
      </c>
      <c r="BB13">
        <v>1919</v>
      </c>
      <c r="BC13" s="85">
        <v>45651.458738425928</v>
      </c>
      <c r="BD13" s="85">
        <v>45651.417071759257</v>
      </c>
      <c r="BE13" t="s">
        <v>255</v>
      </c>
      <c r="BF13" t="s">
        <v>78</v>
      </c>
      <c r="BG13" t="s">
        <v>76</v>
      </c>
      <c r="BH13" t="s">
        <v>77</v>
      </c>
      <c r="BI13" t="s">
        <v>286</v>
      </c>
      <c r="BJ13" t="s">
        <v>287</v>
      </c>
      <c r="BK13">
        <v>43</v>
      </c>
      <c r="BL13" t="s">
        <v>73</v>
      </c>
      <c r="BM13" t="s">
        <v>73</v>
      </c>
      <c r="BN13" t="s">
        <v>73</v>
      </c>
      <c r="BO13" t="s">
        <v>73</v>
      </c>
      <c r="BP13" t="s">
        <v>73</v>
      </c>
      <c r="BQ13" s="1" t="s">
        <v>73</v>
      </c>
      <c r="BS13" s="1" t="s">
        <v>73</v>
      </c>
      <c r="BT13" s="1" t="s">
        <v>369</v>
      </c>
      <c r="BU13" s="1" t="s">
        <v>369</v>
      </c>
      <c r="BV13" s="1" t="s">
        <v>369</v>
      </c>
      <c r="BX13" t="s">
        <v>73</v>
      </c>
      <c r="CC13" s="1"/>
      <c r="CD13" s="1"/>
      <c r="CJ13"/>
      <c r="CK13"/>
      <c r="CL13"/>
      <c r="CM13"/>
      <c r="CN13"/>
      <c r="CO13"/>
      <c r="CP13"/>
      <c r="CQ13"/>
      <c r="CR13"/>
      <c r="CS13"/>
      <c r="CT13"/>
      <c r="CU13"/>
      <c r="CV13"/>
      <c r="CW13"/>
      <c r="CX13"/>
    </row>
    <row r="14" spans="1:105" ht="16" x14ac:dyDescent="0.2">
      <c r="A14" t="s">
        <v>135</v>
      </c>
      <c r="B14" t="s">
        <v>271</v>
      </c>
      <c r="C14" t="s">
        <v>272</v>
      </c>
      <c r="D14" s="1" t="s">
        <v>73</v>
      </c>
      <c r="E14" s="1" t="s">
        <v>72</v>
      </c>
      <c r="F14" s="1" t="s">
        <v>72</v>
      </c>
      <c r="G14" s="1" t="s">
        <v>73</v>
      </c>
      <c r="I14" s="1">
        <v>8</v>
      </c>
      <c r="J14">
        <v>4</v>
      </c>
      <c r="K14"/>
      <c r="L14" s="1">
        <v>2</v>
      </c>
      <c r="M14"/>
      <c r="Q14" s="1" t="s">
        <v>73</v>
      </c>
      <c r="R14" s="1" t="s">
        <v>73</v>
      </c>
      <c r="S14" s="1" t="s">
        <v>73</v>
      </c>
      <c r="T14"/>
      <c r="U14"/>
      <c r="V14"/>
      <c r="W14"/>
      <c r="X14"/>
      <c r="Y14"/>
      <c r="Z14" s="1" t="s">
        <v>73</v>
      </c>
      <c r="AA14" s="1" t="s">
        <v>73</v>
      </c>
      <c r="AB14"/>
      <c r="AC14">
        <v>5</v>
      </c>
      <c r="AD14"/>
      <c r="AE14"/>
      <c r="AF14"/>
      <c r="AG14">
        <v>5</v>
      </c>
      <c r="AH14"/>
      <c r="AI14"/>
      <c r="AJ14"/>
      <c r="AK14" s="1" t="s">
        <v>73</v>
      </c>
      <c r="AL14" s="1" t="s">
        <v>73</v>
      </c>
      <c r="AN14" s="1" t="s">
        <v>73</v>
      </c>
      <c r="AO14"/>
      <c r="AP14" s="1" t="s">
        <v>73</v>
      </c>
      <c r="AR14" s="1" t="s">
        <v>73</v>
      </c>
      <c r="AT14" s="1" t="s">
        <v>73</v>
      </c>
      <c r="AW14" s="1">
        <v>60</v>
      </c>
      <c r="AX14" s="1">
        <v>15</v>
      </c>
      <c r="AY14" t="s">
        <v>73</v>
      </c>
      <c r="AZ14" t="s">
        <v>73</v>
      </c>
      <c r="BA14" s="61" t="s">
        <v>73</v>
      </c>
      <c r="BB14">
        <v>1911</v>
      </c>
      <c r="BC14" s="85">
        <v>45649.735833333332</v>
      </c>
      <c r="BD14" s="85">
        <v>45656.705277777779</v>
      </c>
      <c r="BE14" t="s">
        <v>73</v>
      </c>
      <c r="BF14" t="s">
        <v>73</v>
      </c>
      <c r="BG14" t="s">
        <v>73</v>
      </c>
      <c r="BH14" t="s">
        <v>73</v>
      </c>
      <c r="BI14" t="s">
        <v>73</v>
      </c>
      <c r="BJ14" t="s">
        <v>73</v>
      </c>
      <c r="BL14" t="s">
        <v>73</v>
      </c>
      <c r="BM14" t="s">
        <v>73</v>
      </c>
      <c r="BN14" t="s">
        <v>73</v>
      </c>
      <c r="BO14" t="s">
        <v>73</v>
      </c>
      <c r="BP14" t="s">
        <v>73</v>
      </c>
      <c r="BQ14" s="1" t="s">
        <v>73</v>
      </c>
      <c r="BS14" s="1" t="s">
        <v>73</v>
      </c>
      <c r="BT14" s="1" t="s">
        <v>369</v>
      </c>
      <c r="BU14" s="1" t="s">
        <v>369</v>
      </c>
      <c r="BV14" s="1" t="s">
        <v>369</v>
      </c>
      <c r="BX14" t="s">
        <v>73</v>
      </c>
      <c r="CC14" s="1"/>
      <c r="CD14" s="1"/>
      <c r="CJ14"/>
      <c r="CK14"/>
      <c r="CL14"/>
      <c r="CM14"/>
      <c r="CN14"/>
      <c r="CO14"/>
      <c r="CP14"/>
      <c r="CQ14"/>
      <c r="CR14"/>
      <c r="CS14"/>
      <c r="CT14"/>
      <c r="CU14"/>
      <c r="CV14"/>
      <c r="CW14"/>
      <c r="CX14"/>
    </row>
    <row r="15" spans="1:105" ht="16" x14ac:dyDescent="0.2">
      <c r="A15" t="s">
        <v>135</v>
      </c>
      <c r="B15" t="s">
        <v>185</v>
      </c>
      <c r="C15" t="s">
        <v>133</v>
      </c>
      <c r="D15" s="1" t="s">
        <v>73</v>
      </c>
      <c r="E15" s="1" t="s">
        <v>72</v>
      </c>
      <c r="F15" s="1" t="s">
        <v>73</v>
      </c>
      <c r="G15" s="1" t="s">
        <v>73</v>
      </c>
      <c r="I15" s="1">
        <v>9</v>
      </c>
      <c r="J15">
        <v>3</v>
      </c>
      <c r="K15"/>
      <c r="L15" s="1">
        <v>3</v>
      </c>
      <c r="M15"/>
      <c r="Q15" s="1" t="s">
        <v>73</v>
      </c>
      <c r="R15" s="1" t="s">
        <v>73</v>
      </c>
      <c r="S15" s="1" t="s">
        <v>73</v>
      </c>
      <c r="T15"/>
      <c r="U15"/>
      <c r="V15"/>
      <c r="W15"/>
      <c r="X15"/>
      <c r="Y15"/>
      <c r="Z15" s="1" t="s">
        <v>72</v>
      </c>
      <c r="AA15" s="1" t="s">
        <v>73</v>
      </c>
      <c r="AB15"/>
      <c r="AC15">
        <v>3</v>
      </c>
      <c r="AD15"/>
      <c r="AE15"/>
      <c r="AF15"/>
      <c r="AG15">
        <v>2</v>
      </c>
      <c r="AH15"/>
      <c r="AI15"/>
      <c r="AJ15"/>
      <c r="AK15" s="1" t="s">
        <v>73</v>
      </c>
      <c r="AL15" s="1" t="s">
        <v>72</v>
      </c>
      <c r="AM15">
        <v>6</v>
      </c>
      <c r="AN15" s="1" t="s">
        <v>72</v>
      </c>
      <c r="AO15">
        <v>6</v>
      </c>
      <c r="AP15" s="1" t="s">
        <v>73</v>
      </c>
      <c r="AR15" s="1" t="s">
        <v>72</v>
      </c>
      <c r="AS15">
        <v>6</v>
      </c>
      <c r="AT15" s="1" t="s">
        <v>73</v>
      </c>
      <c r="AW15" s="1">
        <v>68</v>
      </c>
      <c r="AX15" s="1">
        <v>3</v>
      </c>
      <c r="AY15" t="s">
        <v>73</v>
      </c>
      <c r="AZ15" t="s">
        <v>73</v>
      </c>
      <c r="BA15" s="61" t="s">
        <v>73</v>
      </c>
      <c r="BB15">
        <v>1903</v>
      </c>
      <c r="BC15" s="85">
        <v>45649.543437499997</v>
      </c>
      <c r="BD15" s="85">
        <v>45655.579525462963</v>
      </c>
      <c r="BE15" t="s">
        <v>133</v>
      </c>
      <c r="BF15" t="s">
        <v>78</v>
      </c>
      <c r="BG15" t="s">
        <v>76</v>
      </c>
      <c r="BH15" t="s">
        <v>252</v>
      </c>
      <c r="BI15" t="s">
        <v>273</v>
      </c>
      <c r="BJ15" t="s">
        <v>274</v>
      </c>
      <c r="BK15">
        <v>20</v>
      </c>
      <c r="BL15" t="s">
        <v>73</v>
      </c>
      <c r="BM15" t="s">
        <v>73</v>
      </c>
      <c r="BN15" t="s">
        <v>73</v>
      </c>
      <c r="BO15" t="s">
        <v>73</v>
      </c>
      <c r="BP15" t="s">
        <v>73</v>
      </c>
      <c r="BQ15" s="1" t="s">
        <v>73</v>
      </c>
      <c r="BS15" s="1" t="s">
        <v>73</v>
      </c>
      <c r="BT15" s="1" t="s">
        <v>369</v>
      </c>
      <c r="BU15" s="1" t="s">
        <v>369</v>
      </c>
      <c r="BV15" s="1" t="s">
        <v>369</v>
      </c>
      <c r="BX15" t="s">
        <v>73</v>
      </c>
      <c r="CC15" s="1"/>
      <c r="CD15" s="1"/>
      <c r="CJ15"/>
      <c r="CK15"/>
      <c r="CL15"/>
      <c r="CM15"/>
      <c r="CN15"/>
      <c r="CO15"/>
      <c r="CP15"/>
      <c r="CQ15"/>
      <c r="CR15"/>
      <c r="CS15"/>
      <c r="CT15"/>
      <c r="CU15"/>
      <c r="CV15"/>
      <c r="CW15"/>
      <c r="CX15"/>
    </row>
    <row r="16" spans="1:105" ht="16" x14ac:dyDescent="0.2">
      <c r="A16" t="s">
        <v>135</v>
      </c>
      <c r="B16" t="s">
        <v>262</v>
      </c>
      <c r="C16" t="s">
        <v>263</v>
      </c>
      <c r="D16" s="1" t="s">
        <v>73</v>
      </c>
      <c r="E16" s="1" t="s">
        <v>72</v>
      </c>
      <c r="F16" s="1" t="s">
        <v>72</v>
      </c>
      <c r="G16" s="1" t="s">
        <v>72</v>
      </c>
      <c r="H16" s="1" t="s">
        <v>74</v>
      </c>
      <c r="I16" s="1">
        <v>10</v>
      </c>
      <c r="J16"/>
      <c r="K16"/>
      <c r="L16" s="1">
        <v>3</v>
      </c>
      <c r="M16"/>
      <c r="N16" s="1">
        <v>4</v>
      </c>
      <c r="Q16" s="1" t="s">
        <v>73</v>
      </c>
      <c r="R16" s="1" t="s">
        <v>73</v>
      </c>
      <c r="S16" s="1" t="s">
        <v>73</v>
      </c>
      <c r="T16">
        <v>1</v>
      </c>
      <c r="U16">
        <v>1</v>
      </c>
      <c r="V16">
        <v>1</v>
      </c>
      <c r="W16">
        <v>1</v>
      </c>
      <c r="X16">
        <v>1</v>
      </c>
      <c r="Y16">
        <v>1</v>
      </c>
      <c r="Z16" s="1" t="s">
        <v>73</v>
      </c>
      <c r="AA16" s="1" t="s">
        <v>73</v>
      </c>
      <c r="AB16">
        <v>5</v>
      </c>
      <c r="AC16">
        <v>9</v>
      </c>
      <c r="AD16"/>
      <c r="AE16">
        <v>1</v>
      </c>
      <c r="AF16"/>
      <c r="AG16">
        <v>9</v>
      </c>
      <c r="AH16"/>
      <c r="AI16">
        <v>1</v>
      </c>
      <c r="AJ16"/>
      <c r="AK16" s="1" t="s">
        <v>73</v>
      </c>
      <c r="AL16" s="1" t="s">
        <v>72</v>
      </c>
      <c r="AM16">
        <v>6</v>
      </c>
      <c r="AN16" s="1" t="s">
        <v>73</v>
      </c>
      <c r="AO16"/>
      <c r="AP16" s="1" t="s">
        <v>73</v>
      </c>
      <c r="AR16" s="1" t="s">
        <v>72</v>
      </c>
      <c r="AS16">
        <v>6</v>
      </c>
      <c r="AT16" s="1" t="s">
        <v>72</v>
      </c>
      <c r="AU16" s="1">
        <v>1</v>
      </c>
      <c r="AW16" s="1">
        <v>70</v>
      </c>
      <c r="AX16" s="1">
        <v>26</v>
      </c>
      <c r="AY16" t="s">
        <v>73</v>
      </c>
      <c r="AZ16" t="s">
        <v>73</v>
      </c>
      <c r="BA16" s="61" t="s">
        <v>73</v>
      </c>
      <c r="BB16">
        <v>1898</v>
      </c>
      <c r="BC16" s="85">
        <v>45648.890462962961</v>
      </c>
      <c r="BD16" s="85">
        <v>45648.848796296297</v>
      </c>
      <c r="BE16" t="s">
        <v>73</v>
      </c>
      <c r="BF16" t="s">
        <v>73</v>
      </c>
      <c r="BG16" t="s">
        <v>73</v>
      </c>
      <c r="BH16" t="s">
        <v>73</v>
      </c>
      <c r="BI16" t="s">
        <v>73</v>
      </c>
      <c r="BJ16" t="s">
        <v>73</v>
      </c>
      <c r="BL16" t="s">
        <v>73</v>
      </c>
      <c r="BM16" t="s">
        <v>73</v>
      </c>
      <c r="BN16" t="s">
        <v>73</v>
      </c>
      <c r="BO16" t="s">
        <v>73</v>
      </c>
      <c r="BP16" t="s">
        <v>73</v>
      </c>
      <c r="BQ16" s="1" t="s">
        <v>73</v>
      </c>
      <c r="BS16" s="1" t="s">
        <v>75</v>
      </c>
      <c r="BT16" s="1" t="s">
        <v>379</v>
      </c>
      <c r="BU16" s="1" t="s">
        <v>390</v>
      </c>
      <c r="BV16" s="1" t="s">
        <v>381</v>
      </c>
      <c r="BW16">
        <v>20</v>
      </c>
      <c r="BX16" t="s">
        <v>73</v>
      </c>
      <c r="CC16" s="1"/>
      <c r="CD16" s="1"/>
      <c r="CJ16"/>
      <c r="CK16"/>
      <c r="CL16"/>
      <c r="CM16"/>
      <c r="CN16"/>
      <c r="CO16"/>
      <c r="CP16"/>
      <c r="CQ16"/>
      <c r="CR16"/>
      <c r="CS16"/>
      <c r="CT16"/>
      <c r="CU16"/>
      <c r="CV16"/>
      <c r="CW16"/>
      <c r="CX16"/>
    </row>
    <row r="17" spans="1:102" ht="32" x14ac:dyDescent="0.2">
      <c r="A17" t="s">
        <v>135</v>
      </c>
      <c r="B17" t="s">
        <v>259</v>
      </c>
      <c r="C17" t="s">
        <v>260</v>
      </c>
      <c r="D17" s="1" t="s">
        <v>73</v>
      </c>
      <c r="E17" s="1" t="s">
        <v>73</v>
      </c>
      <c r="F17" s="1" t="s">
        <v>72</v>
      </c>
      <c r="G17" s="1" t="s">
        <v>73</v>
      </c>
      <c r="I17" s="1">
        <v>4</v>
      </c>
      <c r="J17"/>
      <c r="K17"/>
      <c r="M17"/>
      <c r="Q17" s="1" t="s">
        <v>73</v>
      </c>
      <c r="R17" s="1" t="s">
        <v>73</v>
      </c>
      <c r="S17" s="1" t="s">
        <v>73</v>
      </c>
      <c r="T17"/>
      <c r="U17"/>
      <c r="V17"/>
      <c r="W17"/>
      <c r="X17"/>
      <c r="Y17"/>
      <c r="Z17" s="1" t="s">
        <v>73</v>
      </c>
      <c r="AA17" s="1" t="s">
        <v>73</v>
      </c>
      <c r="AB17"/>
      <c r="AC17"/>
      <c r="AD17"/>
      <c r="AE17"/>
      <c r="AF17"/>
      <c r="AG17"/>
      <c r="AH17"/>
      <c r="AI17"/>
      <c r="AJ17"/>
      <c r="AK17" s="1" t="s">
        <v>73</v>
      </c>
      <c r="AL17" s="1" t="s">
        <v>72</v>
      </c>
      <c r="AM17">
        <v>6</v>
      </c>
      <c r="AN17" s="1" t="s">
        <v>72</v>
      </c>
      <c r="AO17">
        <v>6</v>
      </c>
      <c r="AP17" s="1" t="s">
        <v>73</v>
      </c>
      <c r="AR17" s="1" t="s">
        <v>73</v>
      </c>
      <c r="AT17" s="1" t="s">
        <v>73</v>
      </c>
      <c r="AW17" s="1">
        <v>15</v>
      </c>
      <c r="AX17" s="1">
        <v>2</v>
      </c>
      <c r="AY17" t="s">
        <v>73</v>
      </c>
      <c r="AZ17" t="s">
        <v>73</v>
      </c>
      <c r="BA17" s="61" t="s">
        <v>261</v>
      </c>
      <c r="BB17">
        <v>1894</v>
      </c>
      <c r="BC17" s="85">
        <v>45648.812951388885</v>
      </c>
      <c r="BD17" s="85">
        <v>45648.771284722221</v>
      </c>
      <c r="BE17" t="s">
        <v>73</v>
      </c>
      <c r="BF17" t="s">
        <v>73</v>
      </c>
      <c r="BG17" t="s">
        <v>73</v>
      </c>
      <c r="BH17" t="s">
        <v>73</v>
      </c>
      <c r="BI17" t="s">
        <v>73</v>
      </c>
      <c r="BJ17" t="s">
        <v>73</v>
      </c>
      <c r="BL17" t="s">
        <v>73</v>
      </c>
      <c r="BM17" t="s">
        <v>73</v>
      </c>
      <c r="BN17" t="s">
        <v>73</v>
      </c>
      <c r="BO17" t="s">
        <v>73</v>
      </c>
      <c r="BP17" t="s">
        <v>73</v>
      </c>
      <c r="BQ17" s="1" t="s">
        <v>73</v>
      </c>
      <c r="BS17" s="1" t="s">
        <v>73</v>
      </c>
      <c r="BT17" s="1" t="s">
        <v>369</v>
      </c>
      <c r="BU17" s="1" t="s">
        <v>369</v>
      </c>
      <c r="BV17" s="1" t="s">
        <v>369</v>
      </c>
      <c r="BX17" t="s">
        <v>73</v>
      </c>
      <c r="CC17" s="1"/>
      <c r="CD17" s="1"/>
      <c r="CJ17"/>
      <c r="CK17"/>
      <c r="CL17"/>
      <c r="CM17"/>
      <c r="CN17"/>
      <c r="CO17"/>
      <c r="CP17"/>
      <c r="CQ17"/>
      <c r="CR17"/>
      <c r="CS17"/>
      <c r="CT17"/>
      <c r="CU17"/>
      <c r="CV17"/>
      <c r="CW17"/>
      <c r="CX17"/>
    </row>
    <row r="18" spans="1:102" ht="16" x14ac:dyDescent="0.2">
      <c r="A18" t="s">
        <v>135</v>
      </c>
      <c r="B18" t="s">
        <v>257</v>
      </c>
      <c r="C18" t="s">
        <v>258</v>
      </c>
      <c r="D18" s="1" t="s">
        <v>72</v>
      </c>
      <c r="E18" s="1" t="s">
        <v>73</v>
      </c>
      <c r="F18" s="1" t="s">
        <v>73</v>
      </c>
      <c r="G18" s="1" t="s">
        <v>73</v>
      </c>
      <c r="J18"/>
      <c r="K18"/>
      <c r="M18"/>
      <c r="Q18" s="1" t="s">
        <v>73</v>
      </c>
      <c r="R18" s="1" t="s">
        <v>73</v>
      </c>
      <c r="S18" s="1" t="s">
        <v>73</v>
      </c>
      <c r="T18"/>
      <c r="U18"/>
      <c r="V18"/>
      <c r="W18"/>
      <c r="X18"/>
      <c r="Y18"/>
      <c r="Z18" s="1" t="s">
        <v>73</v>
      </c>
      <c r="AA18" s="1" t="s">
        <v>73</v>
      </c>
      <c r="AB18"/>
      <c r="AC18"/>
      <c r="AD18"/>
      <c r="AE18"/>
      <c r="AF18"/>
      <c r="AG18"/>
      <c r="AH18"/>
      <c r="AI18"/>
      <c r="AJ18"/>
      <c r="AK18" s="1" t="s">
        <v>73</v>
      </c>
      <c r="AL18" s="1" t="s">
        <v>73</v>
      </c>
      <c r="AN18" s="1" t="s">
        <v>73</v>
      </c>
      <c r="AO18"/>
      <c r="AP18" s="1" t="s">
        <v>73</v>
      </c>
      <c r="AR18" s="1" t="s">
        <v>73</v>
      </c>
      <c r="AT18" s="1" t="s">
        <v>73</v>
      </c>
      <c r="AW18" s="1">
        <v>4</v>
      </c>
      <c r="AX18" s="1">
        <v>0</v>
      </c>
      <c r="AY18" t="s">
        <v>73</v>
      </c>
      <c r="AZ18" t="s">
        <v>73</v>
      </c>
      <c r="BA18" s="61" t="s">
        <v>73</v>
      </c>
      <c r="BB18">
        <v>1891</v>
      </c>
      <c r="BC18" s="85">
        <v>45648.414872685185</v>
      </c>
      <c r="BD18" s="85">
        <v>45648.373206018521</v>
      </c>
      <c r="BE18" t="s">
        <v>73</v>
      </c>
      <c r="BF18" t="s">
        <v>73</v>
      </c>
      <c r="BG18" t="s">
        <v>73</v>
      </c>
      <c r="BH18" t="s">
        <v>73</v>
      </c>
      <c r="BI18" t="s">
        <v>73</v>
      </c>
      <c r="BJ18" t="s">
        <v>73</v>
      </c>
      <c r="BL18" t="s">
        <v>73</v>
      </c>
      <c r="BM18" t="s">
        <v>73</v>
      </c>
      <c r="BN18" t="s">
        <v>73</v>
      </c>
      <c r="BO18" t="s">
        <v>73</v>
      </c>
      <c r="BP18" t="s">
        <v>73</v>
      </c>
      <c r="BQ18" s="1" t="s">
        <v>73</v>
      </c>
      <c r="BS18" s="1" t="s">
        <v>73</v>
      </c>
      <c r="BT18" s="1" t="s">
        <v>369</v>
      </c>
      <c r="BU18" s="1" t="s">
        <v>369</v>
      </c>
      <c r="BV18" s="1" t="s">
        <v>369</v>
      </c>
      <c r="BX18" t="s">
        <v>73</v>
      </c>
      <c r="CC18" s="1"/>
      <c r="CD18" s="1"/>
      <c r="CE18" s="1"/>
      <c r="CF18" s="1"/>
      <c r="CG18" s="1"/>
      <c r="CH18" s="1"/>
      <c r="CJ18"/>
      <c r="CK18"/>
      <c r="CL18"/>
      <c r="CM18"/>
      <c r="CN18"/>
      <c r="CO18"/>
      <c r="CP18"/>
      <c r="CQ18"/>
      <c r="CR18"/>
      <c r="CS18"/>
      <c r="CT18"/>
      <c r="CU18"/>
      <c r="CV18"/>
      <c r="CW18"/>
      <c r="CX18"/>
    </row>
    <row r="19" spans="1:102" ht="16" x14ac:dyDescent="0.2">
      <c r="A19" t="s">
        <v>135</v>
      </c>
      <c r="B19" t="s">
        <v>247</v>
      </c>
      <c r="C19" t="s">
        <v>248</v>
      </c>
      <c r="D19" s="1" t="s">
        <v>73</v>
      </c>
      <c r="E19" s="1" t="s">
        <v>72</v>
      </c>
      <c r="F19" s="1" t="s">
        <v>72</v>
      </c>
      <c r="G19" s="1" t="s">
        <v>73</v>
      </c>
      <c r="I19" s="1">
        <v>8</v>
      </c>
      <c r="J19">
        <v>3</v>
      </c>
      <c r="K19"/>
      <c r="M19"/>
      <c r="Q19" s="1" t="s">
        <v>73</v>
      </c>
      <c r="R19" s="1" t="s">
        <v>73</v>
      </c>
      <c r="S19" s="1" t="s">
        <v>73</v>
      </c>
      <c r="T19"/>
      <c r="U19"/>
      <c r="V19"/>
      <c r="W19"/>
      <c r="X19"/>
      <c r="Y19"/>
      <c r="Z19" s="1" t="s">
        <v>73</v>
      </c>
      <c r="AA19" s="1" t="s">
        <v>73</v>
      </c>
      <c r="AB19"/>
      <c r="AC19"/>
      <c r="AD19"/>
      <c r="AE19"/>
      <c r="AF19"/>
      <c r="AG19"/>
      <c r="AH19"/>
      <c r="AI19"/>
      <c r="AJ19"/>
      <c r="AK19" s="1" t="s">
        <v>73</v>
      </c>
      <c r="AL19" s="1" t="s">
        <v>73</v>
      </c>
      <c r="AN19" s="1" t="s">
        <v>73</v>
      </c>
      <c r="AO19"/>
      <c r="AP19" s="1" t="s">
        <v>73</v>
      </c>
      <c r="AR19" s="1" t="s">
        <v>73</v>
      </c>
      <c r="AT19" s="1" t="s">
        <v>73</v>
      </c>
      <c r="AW19" s="1">
        <v>35</v>
      </c>
      <c r="AX19" s="1">
        <v>4</v>
      </c>
      <c r="AY19" t="s">
        <v>73</v>
      </c>
      <c r="AZ19" t="s">
        <v>73</v>
      </c>
      <c r="BA19" s="61" t="s">
        <v>73</v>
      </c>
      <c r="BB19">
        <v>1890</v>
      </c>
      <c r="BC19" s="85">
        <v>45647.574328703704</v>
      </c>
      <c r="BD19" s="85">
        <v>45657.430625000001</v>
      </c>
      <c r="BE19" t="s">
        <v>73</v>
      </c>
      <c r="BF19" t="s">
        <v>73</v>
      </c>
      <c r="BG19" t="s">
        <v>73</v>
      </c>
      <c r="BH19" t="s">
        <v>73</v>
      </c>
      <c r="BI19" t="s">
        <v>73</v>
      </c>
      <c r="BJ19" t="s">
        <v>73</v>
      </c>
      <c r="BL19" t="s">
        <v>73</v>
      </c>
      <c r="BM19" t="s">
        <v>73</v>
      </c>
      <c r="BN19" t="s">
        <v>73</v>
      </c>
      <c r="BO19" t="s">
        <v>73</v>
      </c>
      <c r="BP19" t="s">
        <v>73</v>
      </c>
      <c r="BQ19" s="1" t="s">
        <v>73</v>
      </c>
      <c r="BS19" s="1" t="s">
        <v>73</v>
      </c>
      <c r="BT19" s="1" t="s">
        <v>369</v>
      </c>
      <c r="BU19" s="1" t="s">
        <v>369</v>
      </c>
      <c r="BV19" s="1" t="s">
        <v>369</v>
      </c>
      <c r="BX19" t="s">
        <v>73</v>
      </c>
      <c r="CC19" s="1"/>
      <c r="CD19" s="1"/>
      <c r="CE19" s="1"/>
      <c r="CF19" s="1"/>
      <c r="CG19" s="1"/>
      <c r="CH19" s="1"/>
      <c r="CJ19"/>
      <c r="CK19"/>
      <c r="CL19"/>
      <c r="CM19"/>
      <c r="CN19"/>
      <c r="CO19"/>
      <c r="CP19"/>
      <c r="CQ19"/>
      <c r="CR19"/>
      <c r="CS19"/>
      <c r="CT19"/>
      <c r="CU19"/>
      <c r="CV19"/>
      <c r="CW19"/>
      <c r="CX19"/>
    </row>
    <row r="20" spans="1:102" ht="80" x14ac:dyDescent="0.2">
      <c r="A20" t="s">
        <v>135</v>
      </c>
      <c r="B20" t="s">
        <v>241</v>
      </c>
      <c r="C20" t="s">
        <v>242</v>
      </c>
      <c r="D20" s="1" t="s">
        <v>73</v>
      </c>
      <c r="E20" s="1" t="s">
        <v>72</v>
      </c>
      <c r="F20" s="1" t="s">
        <v>72</v>
      </c>
      <c r="G20" s="1" t="s">
        <v>73</v>
      </c>
      <c r="H20" s="1" t="s">
        <v>72</v>
      </c>
      <c r="I20" s="1">
        <v>6</v>
      </c>
      <c r="J20">
        <v>3</v>
      </c>
      <c r="K20"/>
      <c r="M20"/>
      <c r="Q20" s="1" t="s">
        <v>73</v>
      </c>
      <c r="R20" s="1" t="s">
        <v>73</v>
      </c>
      <c r="S20" s="1" t="s">
        <v>73</v>
      </c>
      <c r="T20">
        <v>1</v>
      </c>
      <c r="U20"/>
      <c r="V20"/>
      <c r="W20">
        <v>1</v>
      </c>
      <c r="X20"/>
      <c r="Y20"/>
      <c r="Z20" s="1" t="s">
        <v>73</v>
      </c>
      <c r="AA20" s="1" t="s">
        <v>73</v>
      </c>
      <c r="AB20">
        <v>7</v>
      </c>
      <c r="AC20"/>
      <c r="AD20"/>
      <c r="AE20"/>
      <c r="AF20"/>
      <c r="AG20"/>
      <c r="AH20"/>
      <c r="AI20"/>
      <c r="AJ20"/>
      <c r="AK20" s="1" t="s">
        <v>73</v>
      </c>
      <c r="AL20" s="1" t="s">
        <v>72</v>
      </c>
      <c r="AM20">
        <v>6</v>
      </c>
      <c r="AN20" s="1" t="s">
        <v>72</v>
      </c>
      <c r="AO20">
        <v>6</v>
      </c>
      <c r="AP20" s="1" t="s">
        <v>73</v>
      </c>
      <c r="AR20" s="1" t="s">
        <v>72</v>
      </c>
      <c r="AS20">
        <v>6</v>
      </c>
      <c r="AT20" s="1" t="s">
        <v>72</v>
      </c>
      <c r="AU20" s="1">
        <v>4</v>
      </c>
      <c r="AV20" s="1">
        <v>5</v>
      </c>
      <c r="AW20" s="1">
        <v>46</v>
      </c>
      <c r="AX20" s="1">
        <v>18</v>
      </c>
      <c r="AY20" t="s">
        <v>73</v>
      </c>
      <c r="AZ20" t="s">
        <v>73</v>
      </c>
      <c r="BA20" s="61" t="s">
        <v>399</v>
      </c>
      <c r="BB20">
        <v>1885</v>
      </c>
      <c r="BC20" s="85">
        <v>45647.553773148145</v>
      </c>
      <c r="BD20" s="85">
        <v>45658.737083333333</v>
      </c>
      <c r="BE20" t="s">
        <v>73</v>
      </c>
      <c r="BF20" t="s">
        <v>73</v>
      </c>
      <c r="BG20" t="s">
        <v>73</v>
      </c>
      <c r="BH20" t="s">
        <v>73</v>
      </c>
      <c r="BI20" t="s">
        <v>73</v>
      </c>
      <c r="BJ20" t="s">
        <v>73</v>
      </c>
      <c r="BL20" t="s">
        <v>73</v>
      </c>
      <c r="BM20" t="s">
        <v>73</v>
      </c>
      <c r="BN20" t="s">
        <v>73</v>
      </c>
      <c r="BO20" t="s">
        <v>73</v>
      </c>
      <c r="BP20" t="s">
        <v>73</v>
      </c>
      <c r="BQ20" s="1" t="s">
        <v>73</v>
      </c>
      <c r="BS20" s="1" t="s">
        <v>169</v>
      </c>
      <c r="BT20" s="1" t="s">
        <v>391</v>
      </c>
      <c r="BU20" s="1" t="s">
        <v>392</v>
      </c>
      <c r="BV20" s="1" t="s">
        <v>393</v>
      </c>
      <c r="BW20">
        <v>8</v>
      </c>
      <c r="BX20" t="s">
        <v>73</v>
      </c>
      <c r="CC20" s="1"/>
      <c r="CD20" s="1"/>
      <c r="CE20" s="1"/>
      <c r="CF20" s="1"/>
      <c r="CG20" s="1"/>
      <c r="CH20" s="1"/>
      <c r="CJ20"/>
      <c r="CK20"/>
      <c r="CL20"/>
      <c r="CM20"/>
      <c r="CN20"/>
      <c r="CO20"/>
      <c r="CP20"/>
      <c r="CQ20"/>
      <c r="CR20"/>
      <c r="CS20"/>
      <c r="CT20"/>
      <c r="CU20"/>
      <c r="CV20"/>
      <c r="CW20"/>
      <c r="CX20"/>
    </row>
    <row r="21" spans="1:102" ht="16" x14ac:dyDescent="0.2">
      <c r="A21" t="s">
        <v>135</v>
      </c>
      <c r="B21" t="s">
        <v>244</v>
      </c>
      <c r="C21" t="s">
        <v>245</v>
      </c>
      <c r="D21" s="1" t="s">
        <v>73</v>
      </c>
      <c r="E21" s="1" t="s">
        <v>72</v>
      </c>
      <c r="F21" s="1" t="s">
        <v>72</v>
      </c>
      <c r="G21" s="1" t="s">
        <v>73</v>
      </c>
      <c r="I21" s="1">
        <v>7</v>
      </c>
      <c r="J21"/>
      <c r="K21"/>
      <c r="M21"/>
      <c r="Q21" s="1" t="s">
        <v>73</v>
      </c>
      <c r="R21" s="1" t="s">
        <v>73</v>
      </c>
      <c r="S21" s="1" t="s">
        <v>73</v>
      </c>
      <c r="T21">
        <v>2</v>
      </c>
      <c r="U21"/>
      <c r="V21"/>
      <c r="W21">
        <v>2</v>
      </c>
      <c r="X21"/>
      <c r="Y21"/>
      <c r="Z21" s="1" t="s">
        <v>72</v>
      </c>
      <c r="AA21" s="1" t="s">
        <v>73</v>
      </c>
      <c r="AB21"/>
      <c r="AC21">
        <v>2</v>
      </c>
      <c r="AD21"/>
      <c r="AE21"/>
      <c r="AF21"/>
      <c r="AG21">
        <v>2</v>
      </c>
      <c r="AH21"/>
      <c r="AI21"/>
      <c r="AJ21"/>
      <c r="AK21" s="1" t="s">
        <v>73</v>
      </c>
      <c r="AL21" s="1" t="s">
        <v>72</v>
      </c>
      <c r="AM21">
        <v>6</v>
      </c>
      <c r="AN21" s="1" t="s">
        <v>72</v>
      </c>
      <c r="AO21">
        <v>6</v>
      </c>
      <c r="AP21" s="1" t="s">
        <v>73</v>
      </c>
      <c r="AR21" s="1" t="s">
        <v>72</v>
      </c>
      <c r="AS21">
        <v>6</v>
      </c>
      <c r="AT21" s="1" t="s">
        <v>72</v>
      </c>
      <c r="AU21" s="1">
        <v>1</v>
      </c>
      <c r="AW21" s="1">
        <v>75</v>
      </c>
      <c r="AX21" s="1">
        <v>5</v>
      </c>
      <c r="AY21" t="s">
        <v>73</v>
      </c>
      <c r="AZ21" t="s">
        <v>73</v>
      </c>
      <c r="BA21" s="61" t="s">
        <v>73</v>
      </c>
      <c r="BB21">
        <v>1880</v>
      </c>
      <c r="BC21" s="85">
        <v>45647.421400462961</v>
      </c>
      <c r="BD21" s="85">
        <v>45647.441203703704</v>
      </c>
      <c r="BE21" t="s">
        <v>245</v>
      </c>
      <c r="BF21" t="s">
        <v>78</v>
      </c>
      <c r="BG21" t="s">
        <v>215</v>
      </c>
      <c r="BH21" t="s">
        <v>162</v>
      </c>
      <c r="BI21" t="s">
        <v>246</v>
      </c>
      <c r="BJ21" t="s">
        <v>246</v>
      </c>
      <c r="BK21">
        <v>35</v>
      </c>
      <c r="BL21" t="s">
        <v>73</v>
      </c>
      <c r="BM21" t="s">
        <v>73</v>
      </c>
      <c r="BN21" t="s">
        <v>73</v>
      </c>
      <c r="BO21" t="s">
        <v>73</v>
      </c>
      <c r="BP21" t="s">
        <v>73</v>
      </c>
      <c r="BQ21" s="1" t="s">
        <v>73</v>
      </c>
      <c r="BS21" s="1" t="s">
        <v>73</v>
      </c>
      <c r="BT21" s="1" t="s">
        <v>369</v>
      </c>
      <c r="BU21" s="1" t="s">
        <v>369</v>
      </c>
      <c r="BV21" s="1" t="s">
        <v>369</v>
      </c>
      <c r="BX21" t="s">
        <v>73</v>
      </c>
      <c r="CG21" s="1"/>
      <c r="CH21" s="1"/>
      <c r="CI21" s="1"/>
      <c r="CV21"/>
      <c r="CW21"/>
      <c r="CX21"/>
    </row>
    <row r="22" spans="1:102" ht="16" x14ac:dyDescent="0.2">
      <c r="A22" t="s">
        <v>135</v>
      </c>
      <c r="B22" t="s">
        <v>237</v>
      </c>
      <c r="C22" t="s">
        <v>238</v>
      </c>
      <c r="D22" s="1" t="s">
        <v>73</v>
      </c>
      <c r="E22" s="1" t="s">
        <v>72</v>
      </c>
      <c r="F22" s="1" t="s">
        <v>72</v>
      </c>
      <c r="G22" s="1" t="s">
        <v>73</v>
      </c>
      <c r="I22" s="1">
        <v>4</v>
      </c>
      <c r="J22"/>
      <c r="K22"/>
      <c r="M22"/>
      <c r="Q22" s="1" t="s">
        <v>73</v>
      </c>
      <c r="R22" s="1" t="s">
        <v>73</v>
      </c>
      <c r="S22" s="1" t="s">
        <v>73</v>
      </c>
      <c r="T22"/>
      <c r="U22"/>
      <c r="V22"/>
      <c r="W22"/>
      <c r="X22"/>
      <c r="Y22"/>
      <c r="Z22" s="1" t="s">
        <v>73</v>
      </c>
      <c r="AA22" s="1" t="s">
        <v>73</v>
      </c>
      <c r="AB22"/>
      <c r="AC22"/>
      <c r="AD22">
        <v>1</v>
      </c>
      <c r="AE22"/>
      <c r="AF22"/>
      <c r="AG22"/>
      <c r="AH22">
        <v>1</v>
      </c>
      <c r="AI22"/>
      <c r="AJ22"/>
      <c r="AK22" s="1" t="s">
        <v>73</v>
      </c>
      <c r="AL22" s="1" t="s">
        <v>72</v>
      </c>
      <c r="AM22">
        <v>6</v>
      </c>
      <c r="AN22" s="1" t="s">
        <v>72</v>
      </c>
      <c r="AO22">
        <v>6</v>
      </c>
      <c r="AP22" s="1" t="s">
        <v>72</v>
      </c>
      <c r="AQ22">
        <v>6</v>
      </c>
      <c r="AR22" s="1" t="s">
        <v>72</v>
      </c>
      <c r="AS22">
        <v>6</v>
      </c>
      <c r="AT22" s="1" t="s">
        <v>73</v>
      </c>
      <c r="AW22" s="1">
        <v>6</v>
      </c>
      <c r="AX22" s="1">
        <v>0</v>
      </c>
      <c r="AY22" t="s">
        <v>73</v>
      </c>
      <c r="AZ22" t="s">
        <v>73</v>
      </c>
      <c r="BA22" s="61" t="s">
        <v>73</v>
      </c>
      <c r="BB22">
        <v>1869</v>
      </c>
      <c r="BC22" s="85">
        <v>45645.398530092592</v>
      </c>
      <c r="BD22" s="85">
        <v>45645.356863425928</v>
      </c>
      <c r="BE22" t="s">
        <v>73</v>
      </c>
      <c r="BF22" t="s">
        <v>73</v>
      </c>
      <c r="BG22" t="s">
        <v>73</v>
      </c>
      <c r="BH22" t="s">
        <v>73</v>
      </c>
      <c r="BI22" t="s">
        <v>73</v>
      </c>
      <c r="BJ22" t="s">
        <v>73</v>
      </c>
      <c r="BL22" t="s">
        <v>73</v>
      </c>
      <c r="BM22" t="s">
        <v>73</v>
      </c>
      <c r="BN22" t="s">
        <v>73</v>
      </c>
      <c r="BO22" t="s">
        <v>73</v>
      </c>
      <c r="BP22" t="s">
        <v>73</v>
      </c>
      <c r="BQ22" s="1" t="s">
        <v>73</v>
      </c>
      <c r="BS22" s="1" t="s">
        <v>73</v>
      </c>
      <c r="BT22" s="1" t="s">
        <v>369</v>
      </c>
      <c r="BU22" s="1" t="s">
        <v>369</v>
      </c>
      <c r="BV22" s="1" t="s">
        <v>369</v>
      </c>
      <c r="BX22" t="s">
        <v>73</v>
      </c>
      <c r="CG22" s="1"/>
      <c r="CH22" s="1"/>
      <c r="CI22" s="1"/>
      <c r="CV22"/>
      <c r="CW22"/>
      <c r="CX22"/>
    </row>
    <row r="23" spans="1:102" ht="16" x14ac:dyDescent="0.2">
      <c r="A23" t="s">
        <v>135</v>
      </c>
      <c r="B23" t="s">
        <v>228</v>
      </c>
      <c r="C23" t="s">
        <v>229</v>
      </c>
      <c r="D23" s="1" t="s">
        <v>73</v>
      </c>
      <c r="E23" s="1" t="s">
        <v>72</v>
      </c>
      <c r="F23" s="1" t="s">
        <v>72</v>
      </c>
      <c r="G23" s="1" t="s">
        <v>73</v>
      </c>
      <c r="I23" s="1">
        <v>6</v>
      </c>
      <c r="J23"/>
      <c r="K23"/>
      <c r="L23" s="1">
        <v>4</v>
      </c>
      <c r="M23"/>
      <c r="Q23" s="1" t="s">
        <v>73</v>
      </c>
      <c r="R23" s="1" t="s">
        <v>73</v>
      </c>
      <c r="S23" s="1" t="s">
        <v>73</v>
      </c>
      <c r="T23"/>
      <c r="U23"/>
      <c r="V23"/>
      <c r="W23"/>
      <c r="X23"/>
      <c r="Y23"/>
      <c r="Z23" s="1" t="s">
        <v>73</v>
      </c>
      <c r="AA23" s="1" t="s">
        <v>73</v>
      </c>
      <c r="AB23"/>
      <c r="AC23">
        <v>5</v>
      </c>
      <c r="AD23"/>
      <c r="AE23"/>
      <c r="AF23"/>
      <c r="AG23">
        <v>2</v>
      </c>
      <c r="AH23"/>
      <c r="AI23"/>
      <c r="AJ23"/>
      <c r="AK23" s="1" t="s">
        <v>73</v>
      </c>
      <c r="AL23" s="1" t="s">
        <v>72</v>
      </c>
      <c r="AM23">
        <v>4</v>
      </c>
      <c r="AN23" s="1" t="s">
        <v>72</v>
      </c>
      <c r="AO23">
        <v>4</v>
      </c>
      <c r="AP23" s="1" t="s">
        <v>73</v>
      </c>
      <c r="AR23" s="1" t="s">
        <v>73</v>
      </c>
      <c r="AT23" s="1" t="s">
        <v>73</v>
      </c>
      <c r="AW23" s="1">
        <v>50</v>
      </c>
      <c r="AX23" s="1">
        <v>15</v>
      </c>
      <c r="AY23" t="s">
        <v>73</v>
      </c>
      <c r="AZ23" t="s">
        <v>73</v>
      </c>
      <c r="BA23" s="61" t="s">
        <v>73</v>
      </c>
      <c r="BB23">
        <v>1867</v>
      </c>
      <c r="BC23" s="85">
        <v>45644.860902777778</v>
      </c>
      <c r="BD23" s="85">
        <v>45649.548842592594</v>
      </c>
      <c r="BE23" t="s">
        <v>73</v>
      </c>
      <c r="BF23" t="s">
        <v>73</v>
      </c>
      <c r="BG23" t="s">
        <v>73</v>
      </c>
      <c r="BH23" t="s">
        <v>73</v>
      </c>
      <c r="BI23" t="s">
        <v>73</v>
      </c>
      <c r="BJ23" t="s">
        <v>73</v>
      </c>
      <c r="BL23" t="s">
        <v>73</v>
      </c>
      <c r="BM23" t="s">
        <v>73</v>
      </c>
      <c r="BN23" t="s">
        <v>73</v>
      </c>
      <c r="BO23" t="s">
        <v>73</v>
      </c>
      <c r="BP23" t="s">
        <v>73</v>
      </c>
      <c r="BQ23" s="1" t="s">
        <v>73</v>
      </c>
      <c r="BS23" s="1" t="s">
        <v>73</v>
      </c>
      <c r="BT23" s="1" t="s">
        <v>369</v>
      </c>
      <c r="BU23" s="1" t="s">
        <v>369</v>
      </c>
      <c r="BV23" s="1" t="s">
        <v>369</v>
      </c>
      <c r="BX23" t="s">
        <v>73</v>
      </c>
      <c r="CG23" s="1"/>
      <c r="CH23" s="1"/>
      <c r="CI23" s="1"/>
      <c r="CV23"/>
      <c r="CW23"/>
      <c r="CX23"/>
    </row>
    <row r="24" spans="1:102" ht="16" x14ac:dyDescent="0.2">
      <c r="A24" t="s">
        <v>135</v>
      </c>
      <c r="B24" t="s">
        <v>226</v>
      </c>
      <c r="C24" t="s">
        <v>227</v>
      </c>
      <c r="D24" s="1" t="s">
        <v>73</v>
      </c>
      <c r="E24" s="1" t="s">
        <v>72</v>
      </c>
      <c r="F24" s="1" t="s">
        <v>72</v>
      </c>
      <c r="G24" s="1" t="s">
        <v>73</v>
      </c>
      <c r="I24" s="1">
        <v>5</v>
      </c>
      <c r="J24"/>
      <c r="K24"/>
      <c r="M24"/>
      <c r="Q24" s="1" t="s">
        <v>73</v>
      </c>
      <c r="R24" s="1" t="s">
        <v>73</v>
      </c>
      <c r="S24" s="1" t="s">
        <v>73</v>
      </c>
      <c r="T24"/>
      <c r="U24"/>
      <c r="V24"/>
      <c r="W24"/>
      <c r="X24"/>
      <c r="Y24"/>
      <c r="Z24" s="1" t="s">
        <v>73</v>
      </c>
      <c r="AA24" s="1" t="s">
        <v>73</v>
      </c>
      <c r="AB24"/>
      <c r="AC24"/>
      <c r="AD24"/>
      <c r="AE24"/>
      <c r="AF24"/>
      <c r="AG24"/>
      <c r="AH24"/>
      <c r="AI24"/>
      <c r="AJ24"/>
      <c r="AK24" s="1" t="s">
        <v>72</v>
      </c>
      <c r="AL24" s="1" t="s">
        <v>72</v>
      </c>
      <c r="AM24">
        <v>5</v>
      </c>
      <c r="AN24" s="1" t="s">
        <v>72</v>
      </c>
      <c r="AO24">
        <v>5</v>
      </c>
      <c r="AP24" s="1" t="s">
        <v>73</v>
      </c>
      <c r="AR24" s="1" t="s">
        <v>72</v>
      </c>
      <c r="AS24">
        <v>5</v>
      </c>
      <c r="AT24" s="1" t="s">
        <v>73</v>
      </c>
      <c r="AW24" s="1">
        <v>40</v>
      </c>
      <c r="AX24" s="1">
        <v>1</v>
      </c>
      <c r="AY24" t="s">
        <v>73</v>
      </c>
      <c r="AZ24" t="s">
        <v>73</v>
      </c>
      <c r="BA24" s="61" t="s">
        <v>73</v>
      </c>
      <c r="BB24">
        <v>1864</v>
      </c>
      <c r="BC24" s="85">
        <v>45644.82234953704</v>
      </c>
      <c r="BD24" s="85">
        <v>45644.780682870369</v>
      </c>
      <c r="BE24" t="s">
        <v>73</v>
      </c>
      <c r="BF24" t="s">
        <v>73</v>
      </c>
      <c r="BG24" t="s">
        <v>73</v>
      </c>
      <c r="BH24" t="s">
        <v>73</v>
      </c>
      <c r="BI24" t="s">
        <v>73</v>
      </c>
      <c r="BJ24" t="s">
        <v>73</v>
      </c>
      <c r="BL24" t="s">
        <v>73</v>
      </c>
      <c r="BM24" t="s">
        <v>73</v>
      </c>
      <c r="BN24" t="s">
        <v>73</v>
      </c>
      <c r="BO24" t="s">
        <v>73</v>
      </c>
      <c r="BP24" t="s">
        <v>73</v>
      </c>
      <c r="BQ24" s="1" t="s">
        <v>73</v>
      </c>
      <c r="BS24" s="1" t="s">
        <v>73</v>
      </c>
      <c r="BT24" s="1" t="s">
        <v>369</v>
      </c>
      <c r="BU24" s="1" t="s">
        <v>369</v>
      </c>
      <c r="BV24" s="1" t="s">
        <v>369</v>
      </c>
      <c r="BX24" t="s">
        <v>73</v>
      </c>
      <c r="CG24" s="1"/>
      <c r="CH24" s="1"/>
      <c r="CI24" s="1"/>
      <c r="CV24"/>
      <c r="CW24"/>
      <c r="CX24"/>
    </row>
    <row r="25" spans="1:102" ht="16" x14ac:dyDescent="0.2">
      <c r="A25" t="s">
        <v>135</v>
      </c>
      <c r="B25" t="s">
        <v>205</v>
      </c>
      <c r="C25" t="s">
        <v>206</v>
      </c>
      <c r="D25" s="1" t="s">
        <v>73</v>
      </c>
      <c r="E25" s="1" t="s">
        <v>72</v>
      </c>
      <c r="F25" s="1" t="s">
        <v>73</v>
      </c>
      <c r="G25" s="1" t="s">
        <v>73</v>
      </c>
      <c r="I25" s="1">
        <v>6</v>
      </c>
      <c r="J25">
        <v>6</v>
      </c>
      <c r="K25"/>
      <c r="L25" s="1">
        <v>4</v>
      </c>
      <c r="M25"/>
      <c r="Q25" s="1" t="s">
        <v>73</v>
      </c>
      <c r="R25" s="1" t="s">
        <v>73</v>
      </c>
      <c r="S25" s="1" t="s">
        <v>73</v>
      </c>
      <c r="T25"/>
      <c r="U25"/>
      <c r="V25"/>
      <c r="W25"/>
      <c r="X25"/>
      <c r="Y25"/>
      <c r="Z25" s="1" t="s">
        <v>73</v>
      </c>
      <c r="AA25" s="1" t="s">
        <v>73</v>
      </c>
      <c r="AB25"/>
      <c r="AC25"/>
      <c r="AD25"/>
      <c r="AE25"/>
      <c r="AF25"/>
      <c r="AG25"/>
      <c r="AH25"/>
      <c r="AI25"/>
      <c r="AJ25"/>
      <c r="AK25" s="1" t="s">
        <v>73</v>
      </c>
      <c r="AL25" s="1" t="s">
        <v>72</v>
      </c>
      <c r="AM25">
        <v>6</v>
      </c>
      <c r="AN25" s="1" t="s">
        <v>72</v>
      </c>
      <c r="AO25">
        <v>6</v>
      </c>
      <c r="AP25" s="1" t="s">
        <v>73</v>
      </c>
      <c r="AR25" s="1" t="s">
        <v>72</v>
      </c>
      <c r="AS25">
        <v>6</v>
      </c>
      <c r="AT25" s="1" t="s">
        <v>72</v>
      </c>
      <c r="AU25" s="1">
        <v>2</v>
      </c>
      <c r="AV25" s="1">
        <v>2</v>
      </c>
      <c r="AW25" s="1">
        <v>100</v>
      </c>
      <c r="AX25" s="1">
        <v>8</v>
      </c>
      <c r="AY25" t="s">
        <v>72</v>
      </c>
      <c r="AZ25" t="s">
        <v>73</v>
      </c>
      <c r="BA25" s="61" t="s">
        <v>73</v>
      </c>
      <c r="BB25">
        <v>1859</v>
      </c>
      <c r="BC25" s="85">
        <v>45644.468113425923</v>
      </c>
      <c r="BD25" s="85">
        <v>45657.879027777781</v>
      </c>
      <c r="BE25" t="s">
        <v>73</v>
      </c>
      <c r="BF25" t="s">
        <v>73</v>
      </c>
      <c r="BG25" t="s">
        <v>73</v>
      </c>
      <c r="BH25" t="s">
        <v>73</v>
      </c>
      <c r="BI25" t="s">
        <v>73</v>
      </c>
      <c r="BJ25" t="s">
        <v>73</v>
      </c>
      <c r="BL25" t="s">
        <v>73</v>
      </c>
      <c r="BM25" t="s">
        <v>73</v>
      </c>
      <c r="BN25" t="s">
        <v>73</v>
      </c>
      <c r="BO25" t="s">
        <v>73</v>
      </c>
      <c r="BP25" t="s">
        <v>73</v>
      </c>
      <c r="BQ25" s="1" t="s">
        <v>73</v>
      </c>
      <c r="BS25" s="1" t="s">
        <v>73</v>
      </c>
      <c r="BT25" s="1" t="s">
        <v>369</v>
      </c>
      <c r="BU25" s="1" t="s">
        <v>369</v>
      </c>
      <c r="BV25" s="1" t="s">
        <v>369</v>
      </c>
      <c r="BX25" t="s">
        <v>73</v>
      </c>
      <c r="CG25" s="1"/>
      <c r="CH25" s="1"/>
      <c r="CI25" s="1"/>
      <c r="CV25"/>
      <c r="CW25"/>
      <c r="CX25"/>
    </row>
    <row r="26" spans="1:102" ht="16" x14ac:dyDescent="0.2">
      <c r="A26" t="s">
        <v>135</v>
      </c>
      <c r="B26" t="s">
        <v>212</v>
      </c>
      <c r="C26" t="s">
        <v>213</v>
      </c>
      <c r="D26" s="1" t="s">
        <v>73</v>
      </c>
      <c r="E26" s="1" t="s">
        <v>72</v>
      </c>
      <c r="F26" s="1" t="s">
        <v>72</v>
      </c>
      <c r="G26" s="1" t="s">
        <v>73</v>
      </c>
      <c r="I26" s="1">
        <v>6</v>
      </c>
      <c r="J26"/>
      <c r="K26"/>
      <c r="M26"/>
      <c r="Q26" s="1" t="s">
        <v>73</v>
      </c>
      <c r="R26" s="1" t="s">
        <v>73</v>
      </c>
      <c r="S26" s="1" t="s">
        <v>73</v>
      </c>
      <c r="T26"/>
      <c r="U26"/>
      <c r="V26"/>
      <c r="W26"/>
      <c r="X26"/>
      <c r="Y26"/>
      <c r="Z26" s="1" t="s">
        <v>73</v>
      </c>
      <c r="AA26" s="1" t="s">
        <v>73</v>
      </c>
      <c r="AB26"/>
      <c r="AC26"/>
      <c r="AD26"/>
      <c r="AE26"/>
      <c r="AF26"/>
      <c r="AG26"/>
      <c r="AH26"/>
      <c r="AI26"/>
      <c r="AJ26"/>
      <c r="AK26" s="1" t="s">
        <v>73</v>
      </c>
      <c r="AL26" s="1" t="s">
        <v>72</v>
      </c>
      <c r="AM26">
        <v>6</v>
      </c>
      <c r="AN26" s="1" t="s">
        <v>72</v>
      </c>
      <c r="AO26">
        <v>6</v>
      </c>
      <c r="AP26" s="1" t="s">
        <v>73</v>
      </c>
      <c r="AR26" s="1" t="s">
        <v>72</v>
      </c>
      <c r="AS26">
        <v>6</v>
      </c>
      <c r="AT26" s="1" t="s">
        <v>73</v>
      </c>
      <c r="AW26" s="1">
        <v>40</v>
      </c>
      <c r="AX26" s="1">
        <v>2</v>
      </c>
      <c r="AY26" t="s">
        <v>72</v>
      </c>
      <c r="AZ26" t="s">
        <v>73</v>
      </c>
      <c r="BA26" s="61" t="s">
        <v>73</v>
      </c>
      <c r="BB26">
        <v>1857</v>
      </c>
      <c r="BC26" s="85">
        <v>45643.901631944442</v>
      </c>
      <c r="BD26" s="85">
        <v>45643.859965277778</v>
      </c>
      <c r="BE26" t="s">
        <v>73</v>
      </c>
      <c r="BF26" t="s">
        <v>73</v>
      </c>
      <c r="BG26" t="s">
        <v>73</v>
      </c>
      <c r="BH26" t="s">
        <v>73</v>
      </c>
      <c r="BI26" t="s">
        <v>73</v>
      </c>
      <c r="BJ26" t="s">
        <v>73</v>
      </c>
      <c r="BL26" t="s">
        <v>73</v>
      </c>
      <c r="BM26" t="s">
        <v>73</v>
      </c>
      <c r="BN26" t="s">
        <v>73</v>
      </c>
      <c r="BO26" t="s">
        <v>73</v>
      </c>
      <c r="BP26" t="s">
        <v>73</v>
      </c>
      <c r="BQ26" s="1" t="s">
        <v>73</v>
      </c>
      <c r="BS26" s="1" t="s">
        <v>73</v>
      </c>
      <c r="BT26" s="1" t="s">
        <v>369</v>
      </c>
      <c r="BU26" s="1" t="s">
        <v>369</v>
      </c>
      <c r="BV26" s="1" t="s">
        <v>369</v>
      </c>
      <c r="BX26" t="s">
        <v>73</v>
      </c>
      <c r="CG26" s="1"/>
      <c r="CH26" s="1"/>
      <c r="CI26" s="1"/>
      <c r="CV26"/>
      <c r="CW26"/>
      <c r="CX26"/>
    </row>
    <row r="27" spans="1:102" ht="48" x14ac:dyDescent="0.2">
      <c r="A27" t="s">
        <v>135</v>
      </c>
      <c r="B27" t="s">
        <v>207</v>
      </c>
      <c r="C27" t="s">
        <v>236</v>
      </c>
      <c r="D27" s="1" t="s">
        <v>73</v>
      </c>
      <c r="E27" s="1" t="s">
        <v>72</v>
      </c>
      <c r="F27" s="1" t="s">
        <v>72</v>
      </c>
      <c r="G27" s="1" t="s">
        <v>73</v>
      </c>
      <c r="J27"/>
      <c r="K27"/>
      <c r="M27"/>
      <c r="Q27" s="1" t="s">
        <v>73</v>
      </c>
      <c r="R27" s="1" t="s">
        <v>73</v>
      </c>
      <c r="S27" s="1" t="s">
        <v>73</v>
      </c>
      <c r="T27"/>
      <c r="U27"/>
      <c r="V27"/>
      <c r="W27"/>
      <c r="X27"/>
      <c r="Y27"/>
      <c r="Z27" s="1" t="s">
        <v>73</v>
      </c>
      <c r="AA27" s="1" t="s">
        <v>73</v>
      </c>
      <c r="AB27"/>
      <c r="AC27"/>
      <c r="AD27"/>
      <c r="AE27"/>
      <c r="AF27"/>
      <c r="AG27"/>
      <c r="AH27"/>
      <c r="AI27"/>
      <c r="AJ27"/>
      <c r="AK27" s="1" t="s">
        <v>73</v>
      </c>
      <c r="AL27" s="1" t="s">
        <v>73</v>
      </c>
      <c r="AN27" s="1" t="s">
        <v>73</v>
      </c>
      <c r="AO27"/>
      <c r="AP27" s="1" t="s">
        <v>73</v>
      </c>
      <c r="AR27" s="1" t="s">
        <v>73</v>
      </c>
      <c r="AT27" s="1" t="s">
        <v>73</v>
      </c>
      <c r="AW27" s="1">
        <v>76</v>
      </c>
      <c r="AX27" s="1">
        <v>21</v>
      </c>
      <c r="AY27" t="s">
        <v>73</v>
      </c>
      <c r="AZ27" t="s">
        <v>73</v>
      </c>
      <c r="BA27" s="61" t="s">
        <v>400</v>
      </c>
      <c r="BB27">
        <v>1855</v>
      </c>
      <c r="BC27" s="85">
        <v>45643.499814814815</v>
      </c>
      <c r="BD27" s="85">
        <v>45658.737974537034</v>
      </c>
      <c r="BE27" t="s">
        <v>73</v>
      </c>
      <c r="BF27" t="s">
        <v>73</v>
      </c>
      <c r="BG27" t="s">
        <v>73</v>
      </c>
      <c r="BH27" t="s">
        <v>73</v>
      </c>
      <c r="BI27" t="s">
        <v>73</v>
      </c>
      <c r="BJ27" t="s">
        <v>73</v>
      </c>
      <c r="BL27" t="s">
        <v>73</v>
      </c>
      <c r="BM27" t="s">
        <v>73</v>
      </c>
      <c r="BN27" t="s">
        <v>73</v>
      </c>
      <c r="BO27" t="s">
        <v>73</v>
      </c>
      <c r="BP27" t="s">
        <v>73</v>
      </c>
      <c r="BQ27" s="1" t="s">
        <v>73</v>
      </c>
      <c r="BS27" s="1" t="s">
        <v>73</v>
      </c>
      <c r="BT27" s="1" t="s">
        <v>369</v>
      </c>
      <c r="BU27" s="1" t="s">
        <v>369</v>
      </c>
      <c r="BV27" s="1" t="s">
        <v>369</v>
      </c>
      <c r="BX27" t="s">
        <v>73</v>
      </c>
      <c r="CG27" s="1"/>
      <c r="CH27" s="1"/>
      <c r="CI27" s="1"/>
      <c r="CV27"/>
      <c r="CW27"/>
      <c r="CX27"/>
    </row>
    <row r="28" spans="1:102" ht="96" x14ac:dyDescent="0.2">
      <c r="A28" t="s">
        <v>135</v>
      </c>
      <c r="B28" t="s">
        <v>175</v>
      </c>
      <c r="C28" t="s">
        <v>155</v>
      </c>
      <c r="D28" s="1" t="s">
        <v>73</v>
      </c>
      <c r="E28" s="1" t="s">
        <v>72</v>
      </c>
      <c r="F28" s="1" t="s">
        <v>73</v>
      </c>
      <c r="G28" s="1" t="s">
        <v>73</v>
      </c>
      <c r="I28" s="1">
        <v>8</v>
      </c>
      <c r="J28"/>
      <c r="K28"/>
      <c r="M28"/>
      <c r="Q28" s="1" t="s">
        <v>73</v>
      </c>
      <c r="R28" s="1" t="s">
        <v>73</v>
      </c>
      <c r="S28" s="1" t="s">
        <v>73</v>
      </c>
      <c r="T28"/>
      <c r="U28"/>
      <c r="V28"/>
      <c r="W28"/>
      <c r="X28"/>
      <c r="Y28"/>
      <c r="Z28" s="1" t="s">
        <v>73</v>
      </c>
      <c r="AA28" s="1" t="s">
        <v>73</v>
      </c>
      <c r="AB28"/>
      <c r="AC28"/>
      <c r="AD28"/>
      <c r="AE28"/>
      <c r="AF28"/>
      <c r="AG28"/>
      <c r="AH28"/>
      <c r="AI28"/>
      <c r="AJ28"/>
      <c r="AK28" s="1" t="s">
        <v>73</v>
      </c>
      <c r="AL28" s="1" t="s">
        <v>73</v>
      </c>
      <c r="AN28" s="1" t="s">
        <v>73</v>
      </c>
      <c r="AO28"/>
      <c r="AP28" s="1" t="s">
        <v>73</v>
      </c>
      <c r="AR28" s="1" t="s">
        <v>73</v>
      </c>
      <c r="AT28" s="1" t="s">
        <v>73</v>
      </c>
      <c r="AW28" s="1">
        <v>12</v>
      </c>
      <c r="AX28" s="1">
        <v>0</v>
      </c>
      <c r="AY28" t="s">
        <v>73</v>
      </c>
      <c r="AZ28" t="s">
        <v>73</v>
      </c>
      <c r="BA28" s="61" t="s">
        <v>156</v>
      </c>
      <c r="BB28">
        <v>1821</v>
      </c>
      <c r="BC28" s="85">
        <v>45635.785624999997</v>
      </c>
      <c r="BD28" s="85">
        <v>45635.750081018516</v>
      </c>
      <c r="BE28" t="s">
        <v>73</v>
      </c>
      <c r="BF28" t="s">
        <v>73</v>
      </c>
      <c r="BG28" t="s">
        <v>73</v>
      </c>
      <c r="BH28" t="s">
        <v>73</v>
      </c>
      <c r="BI28" t="s">
        <v>73</v>
      </c>
      <c r="BJ28" t="s">
        <v>73</v>
      </c>
      <c r="BL28" t="s">
        <v>73</v>
      </c>
      <c r="BM28" t="s">
        <v>73</v>
      </c>
      <c r="BN28" t="s">
        <v>73</v>
      </c>
      <c r="BO28" t="s">
        <v>73</v>
      </c>
      <c r="BP28" t="s">
        <v>73</v>
      </c>
      <c r="BQ28" s="1" t="s">
        <v>73</v>
      </c>
      <c r="BS28" s="1" t="s">
        <v>73</v>
      </c>
      <c r="BT28" s="1" t="s">
        <v>369</v>
      </c>
      <c r="BU28" s="1" t="s">
        <v>369</v>
      </c>
      <c r="BV28" s="1" t="s">
        <v>369</v>
      </c>
      <c r="BX28" t="s">
        <v>73</v>
      </c>
      <c r="CG28" s="1"/>
      <c r="CH28" s="1"/>
      <c r="CI28" s="1"/>
      <c r="CV28"/>
      <c r="CW28"/>
      <c r="CX28"/>
    </row>
    <row r="29" spans="1:102" ht="16" x14ac:dyDescent="0.2">
      <c r="A29" t="s">
        <v>135</v>
      </c>
      <c r="B29" t="s">
        <v>176</v>
      </c>
      <c r="C29" t="s">
        <v>149</v>
      </c>
      <c r="D29" s="1" t="s">
        <v>73</v>
      </c>
      <c r="E29" s="1" t="s">
        <v>72</v>
      </c>
      <c r="F29" s="1" t="s">
        <v>73</v>
      </c>
      <c r="G29" s="1" t="s">
        <v>73</v>
      </c>
      <c r="I29" s="1">
        <v>6</v>
      </c>
      <c r="J29"/>
      <c r="K29"/>
      <c r="M29"/>
      <c r="Q29" s="1" t="s">
        <v>73</v>
      </c>
      <c r="R29" s="1" t="s">
        <v>73</v>
      </c>
      <c r="S29" s="1" t="s">
        <v>73</v>
      </c>
      <c r="T29"/>
      <c r="U29"/>
      <c r="V29"/>
      <c r="W29"/>
      <c r="X29"/>
      <c r="Y29"/>
      <c r="Z29" s="1" t="s">
        <v>73</v>
      </c>
      <c r="AA29" s="1" t="s">
        <v>73</v>
      </c>
      <c r="AB29"/>
      <c r="AC29"/>
      <c r="AD29"/>
      <c r="AE29"/>
      <c r="AF29"/>
      <c r="AG29"/>
      <c r="AH29"/>
      <c r="AI29"/>
      <c r="AJ29"/>
      <c r="AK29" s="1" t="s">
        <v>73</v>
      </c>
      <c r="AL29" s="1" t="s">
        <v>72</v>
      </c>
      <c r="AM29">
        <v>4</v>
      </c>
      <c r="AN29" s="1" t="s">
        <v>73</v>
      </c>
      <c r="AO29"/>
      <c r="AP29" s="1" t="s">
        <v>73</v>
      </c>
      <c r="AR29" s="1" t="s">
        <v>73</v>
      </c>
      <c r="AT29" s="1" t="s">
        <v>73</v>
      </c>
      <c r="AW29" s="1">
        <v>35</v>
      </c>
      <c r="AX29" s="1">
        <v>2</v>
      </c>
      <c r="AY29" t="s">
        <v>73</v>
      </c>
      <c r="AZ29" t="s">
        <v>73</v>
      </c>
      <c r="BA29" s="61" t="s">
        <v>73</v>
      </c>
      <c r="BB29">
        <v>1815</v>
      </c>
      <c r="BC29" s="85">
        <v>45634.680821759262</v>
      </c>
      <c r="BD29" s="85">
        <v>45634.639155092591</v>
      </c>
      <c r="BE29" t="s">
        <v>73</v>
      </c>
      <c r="BF29" t="s">
        <v>73</v>
      </c>
      <c r="BG29" t="s">
        <v>73</v>
      </c>
      <c r="BH29" t="s">
        <v>73</v>
      </c>
      <c r="BI29" t="s">
        <v>73</v>
      </c>
      <c r="BJ29" t="s">
        <v>73</v>
      </c>
      <c r="BL29" t="s">
        <v>73</v>
      </c>
      <c r="BM29" t="s">
        <v>73</v>
      </c>
      <c r="BN29" t="s">
        <v>73</v>
      </c>
      <c r="BO29" t="s">
        <v>73</v>
      </c>
      <c r="BP29" t="s">
        <v>73</v>
      </c>
      <c r="BQ29" s="1" t="s">
        <v>73</v>
      </c>
      <c r="BS29" s="1" t="s">
        <v>73</v>
      </c>
      <c r="BT29" s="1" t="s">
        <v>369</v>
      </c>
      <c r="BU29" s="1" t="s">
        <v>369</v>
      </c>
      <c r="BV29" s="1" t="s">
        <v>369</v>
      </c>
      <c r="BX29" t="s">
        <v>73</v>
      </c>
      <c r="CG29" s="1"/>
      <c r="CH29" s="1"/>
      <c r="CI29" s="1"/>
      <c r="CV29"/>
      <c r="CW29"/>
      <c r="CX29"/>
    </row>
    <row r="30" spans="1:102" ht="16" x14ac:dyDescent="0.2">
      <c r="A30" t="s">
        <v>135</v>
      </c>
      <c r="B30" t="s">
        <v>177</v>
      </c>
      <c r="C30" t="s">
        <v>148</v>
      </c>
      <c r="D30" s="1" t="s">
        <v>73</v>
      </c>
      <c r="E30" s="1" t="s">
        <v>72</v>
      </c>
      <c r="F30" s="1" t="s">
        <v>72</v>
      </c>
      <c r="G30" s="1" t="s">
        <v>73</v>
      </c>
      <c r="I30" s="1">
        <v>4</v>
      </c>
      <c r="J30"/>
      <c r="K30"/>
      <c r="L30" s="1">
        <v>3</v>
      </c>
      <c r="M30"/>
      <c r="Q30" s="1" t="s">
        <v>73</v>
      </c>
      <c r="R30" s="1" t="s">
        <v>73</v>
      </c>
      <c r="S30" s="1" t="s">
        <v>73</v>
      </c>
      <c r="T30"/>
      <c r="U30"/>
      <c r="V30"/>
      <c r="W30"/>
      <c r="X30"/>
      <c r="Y30"/>
      <c r="Z30" s="1" t="s">
        <v>73</v>
      </c>
      <c r="AA30" s="1" t="s">
        <v>73</v>
      </c>
      <c r="AB30"/>
      <c r="AC30"/>
      <c r="AD30"/>
      <c r="AE30"/>
      <c r="AF30"/>
      <c r="AG30"/>
      <c r="AH30"/>
      <c r="AI30"/>
      <c r="AJ30"/>
      <c r="AK30" s="1" t="s">
        <v>73</v>
      </c>
      <c r="AL30" s="1" t="s">
        <v>72</v>
      </c>
      <c r="AM30">
        <v>4</v>
      </c>
      <c r="AN30" s="1" t="s">
        <v>72</v>
      </c>
      <c r="AO30">
        <v>4</v>
      </c>
      <c r="AP30" s="1" t="s">
        <v>73</v>
      </c>
      <c r="AR30" s="1" t="s">
        <v>72</v>
      </c>
      <c r="AS30">
        <v>4</v>
      </c>
      <c r="AT30" s="1" t="s">
        <v>73</v>
      </c>
      <c r="AW30" s="1">
        <v>50</v>
      </c>
      <c r="AX30" s="1">
        <v>3</v>
      </c>
      <c r="AY30" t="s">
        <v>73</v>
      </c>
      <c r="AZ30" t="s">
        <v>73</v>
      </c>
      <c r="BA30" s="61" t="s">
        <v>73</v>
      </c>
      <c r="BB30">
        <v>1814</v>
      </c>
      <c r="BC30" s="85">
        <v>45631.918958333335</v>
      </c>
      <c r="BD30" s="85">
        <v>45631.877291666664</v>
      </c>
      <c r="BE30" t="s">
        <v>73</v>
      </c>
      <c r="BF30" t="s">
        <v>73</v>
      </c>
      <c r="BG30" t="s">
        <v>73</v>
      </c>
      <c r="BH30" t="s">
        <v>73</v>
      </c>
      <c r="BI30" t="s">
        <v>73</v>
      </c>
      <c r="BJ30" t="s">
        <v>73</v>
      </c>
      <c r="BL30" t="s">
        <v>73</v>
      </c>
      <c r="BM30" t="s">
        <v>73</v>
      </c>
      <c r="BN30" t="s">
        <v>73</v>
      </c>
      <c r="BO30" t="s">
        <v>73</v>
      </c>
      <c r="BP30" t="s">
        <v>73</v>
      </c>
      <c r="BQ30" s="1" t="s">
        <v>73</v>
      </c>
      <c r="BS30" s="1" t="s">
        <v>73</v>
      </c>
      <c r="BT30" s="1" t="s">
        <v>369</v>
      </c>
      <c r="BU30" s="1" t="s">
        <v>369</v>
      </c>
      <c r="BV30" s="1" t="s">
        <v>369</v>
      </c>
      <c r="BX30" t="s">
        <v>73</v>
      </c>
      <c r="CG30" s="1"/>
      <c r="CH30" s="1"/>
      <c r="CI30" s="1"/>
      <c r="CV30"/>
      <c r="CW30"/>
      <c r="CX30"/>
    </row>
    <row r="31" spans="1:102" ht="17" thickBot="1" x14ac:dyDescent="0.25">
      <c r="A31" t="s">
        <v>135</v>
      </c>
      <c r="B31" t="s">
        <v>178</v>
      </c>
      <c r="C31" t="s">
        <v>132</v>
      </c>
      <c r="D31" s="1" t="s">
        <v>73</v>
      </c>
      <c r="E31" s="1" t="s">
        <v>72</v>
      </c>
      <c r="F31" s="1" t="s">
        <v>72</v>
      </c>
      <c r="G31" s="1" t="s">
        <v>73</v>
      </c>
      <c r="J31"/>
      <c r="K31"/>
      <c r="M31"/>
      <c r="Q31" s="1" t="s">
        <v>73</v>
      </c>
      <c r="R31" s="1" t="s">
        <v>73</v>
      </c>
      <c r="S31" s="1" t="s">
        <v>73</v>
      </c>
      <c r="T31"/>
      <c r="U31"/>
      <c r="V31"/>
      <c r="W31"/>
      <c r="X31"/>
      <c r="Y31"/>
      <c r="Z31" s="1" t="s">
        <v>73</v>
      </c>
      <c r="AA31" s="1" t="s">
        <v>73</v>
      </c>
      <c r="AB31"/>
      <c r="AC31"/>
      <c r="AD31"/>
      <c r="AE31"/>
      <c r="AF31"/>
      <c r="AG31"/>
      <c r="AH31"/>
      <c r="AI31"/>
      <c r="AJ31"/>
      <c r="AK31" s="1" t="s">
        <v>73</v>
      </c>
      <c r="AL31" s="1" t="s">
        <v>72</v>
      </c>
      <c r="AM31">
        <v>6</v>
      </c>
      <c r="AN31" s="1" t="s">
        <v>72</v>
      </c>
      <c r="AO31">
        <v>6</v>
      </c>
      <c r="AP31" s="1" t="s">
        <v>72</v>
      </c>
      <c r="AQ31">
        <v>6</v>
      </c>
      <c r="AR31" s="1" t="s">
        <v>72</v>
      </c>
      <c r="AS31">
        <v>6</v>
      </c>
      <c r="AT31" s="1" t="s">
        <v>72</v>
      </c>
      <c r="AU31" s="1">
        <v>1</v>
      </c>
      <c r="AV31" s="1">
        <v>1</v>
      </c>
      <c r="AW31" s="1">
        <v>25</v>
      </c>
      <c r="AX31" s="1">
        <v>3</v>
      </c>
      <c r="AY31" t="s">
        <v>73</v>
      </c>
      <c r="AZ31" t="s">
        <v>73</v>
      </c>
      <c r="BA31" s="61" t="s">
        <v>73</v>
      </c>
      <c r="BB31">
        <v>1807</v>
      </c>
      <c r="BC31" s="85">
        <v>45619.272326388891</v>
      </c>
      <c r="BD31" s="85">
        <v>45631.710601851853</v>
      </c>
      <c r="BE31" t="s">
        <v>73</v>
      </c>
      <c r="BF31" t="s">
        <v>73</v>
      </c>
      <c r="BG31" t="s">
        <v>73</v>
      </c>
      <c r="BH31" t="s">
        <v>73</v>
      </c>
      <c r="BI31" t="s">
        <v>73</v>
      </c>
      <c r="BJ31" t="s">
        <v>73</v>
      </c>
      <c r="BL31" t="s">
        <v>73</v>
      </c>
      <c r="BM31" t="s">
        <v>73</v>
      </c>
      <c r="BN31" t="s">
        <v>73</v>
      </c>
      <c r="BO31" t="s">
        <v>73</v>
      </c>
      <c r="BP31" t="s">
        <v>73</v>
      </c>
      <c r="BQ31" s="1" t="s">
        <v>73</v>
      </c>
      <c r="BS31" s="1" t="s">
        <v>73</v>
      </c>
      <c r="BT31" s="1" t="s">
        <v>369</v>
      </c>
      <c r="BU31" s="1" t="s">
        <v>369</v>
      </c>
      <c r="BV31" s="1" t="s">
        <v>369</v>
      </c>
      <c r="BX31" t="s">
        <v>73</v>
      </c>
      <c r="CG31" s="1"/>
      <c r="CH31" s="1"/>
      <c r="CI31" s="1"/>
      <c r="CV31"/>
      <c r="CW31"/>
      <c r="CX31"/>
    </row>
    <row r="32" spans="1:102" ht="16" thickTop="1" x14ac:dyDescent="0.2">
      <c r="A32" t="s">
        <v>79</v>
      </c>
      <c r="C32">
        <f>SUBTOTAL(103,KDA[Naam vereniging])</f>
        <v>25</v>
      </c>
      <c r="D32" s="1">
        <f>COUNTIF(KDA[Delegatie],"x")</f>
        <v>3</v>
      </c>
      <c r="E32" s="16">
        <f>COUNTIF(KDA[Muziekkorps bij mars en defilé],"x")</f>
        <v>21</v>
      </c>
      <c r="F32" s="16">
        <f>COUNTIF(KDA[Deeln. jeugdkoningschieten],"x")</f>
        <v>17</v>
      </c>
      <c r="G32" s="16">
        <f>COUNTIF(KDA[Maj. Senioren jureren bij mars],"x")</f>
        <v>2</v>
      </c>
      <c r="H32" s="16">
        <f>COUNTIF(KDA[Maj. Jeugd jureren bij mars],"x")</f>
        <v>1</v>
      </c>
      <c r="I32" s="1">
        <f>SUBTOTAL(103,KDA[Korps senioren])</f>
        <v>20</v>
      </c>
      <c r="J32" s="1">
        <f>SUBTOTAL(103,KDA[Junioren korps 1])</f>
        <v>5</v>
      </c>
      <c r="K32" s="1">
        <f>SUBTOTAL(103,KDA[Junioren korps 2])</f>
        <v>0</v>
      </c>
      <c r="L32" s="1">
        <f>SUBTOTAL(103,KDA[Aspiranten korps 1])</f>
        <v>6</v>
      </c>
      <c r="M32" s="1">
        <f>SUBTOTAL(103,KDA[Aspiranten korps 2])</f>
        <v>0</v>
      </c>
      <c r="N32" s="1">
        <f>SUBTOTAL(103,KDA[Acrobatisch senioren])</f>
        <v>2</v>
      </c>
      <c r="O32" s="1">
        <f>SUBTOTAL(103,KDA[Acrobatisch junioren])</f>
        <v>0</v>
      </c>
      <c r="P32" s="1">
        <f>SUBTOTAL(103,KDA[Acrobatisch aspiranten])</f>
        <v>0</v>
      </c>
      <c r="T32" s="79">
        <f>SUBTOTAL(109,KDA[Senioren indiv.])</f>
        <v>6</v>
      </c>
      <c r="U32" s="79">
        <f>SUBTOTAL(109,KDA[Junioren indiv.])</f>
        <v>1</v>
      </c>
      <c r="V32" s="1">
        <f>SUBTOTAL(109,KDA[Aspiranten indiv.])</f>
        <v>1</v>
      </c>
      <c r="W32" s="1">
        <f>SUBTOTAL(109,KDA[Sen. ind opgegeven namen])</f>
        <v>6</v>
      </c>
      <c r="X32" s="1">
        <f>SUBTOTAL(109,KDA[Jun. ind opgegeven namen])</f>
        <v>1</v>
      </c>
      <c r="Y32" s="1">
        <f>SUBTOTAL(109,KDA[Asp. ind opgegeven namen])</f>
        <v>1</v>
      </c>
      <c r="Z32" s="16">
        <f>COUNTIF(KDA[Hoofdkorps],"x")</f>
        <v>4</v>
      </c>
      <c r="AA32" s="117">
        <f>COUNTIF(KDA[2e korps],"x")</f>
        <v>0</v>
      </c>
      <c r="AB32" s="1">
        <f>SUBTOTAL(109,KDA[Groepen, teams, ensembles en duo''s])</f>
        <v>16</v>
      </c>
      <c r="AC32" s="1">
        <f>SUBTOTAL(109,KDA[Senioren])</f>
        <v>25</v>
      </c>
      <c r="AD32" s="1">
        <f>SUBTOTAL(109,KDA[Jong volwassene])</f>
        <v>1</v>
      </c>
      <c r="AE32" s="1">
        <f>SUBTOTAL(109,KDA[Junioren])</f>
        <v>1</v>
      </c>
      <c r="AF32" s="1">
        <f>SUBTOTAL(109,KDA[Aspiranten])</f>
        <v>0</v>
      </c>
      <c r="AG32" s="1">
        <f>SUBTOTAL(109,KDA[Opgegeven senioren])</f>
        <v>21</v>
      </c>
      <c r="AH32" s="1">
        <f>SUBTOTAL(109,KDA[Opgegeven jong volwassene])</f>
        <v>1</v>
      </c>
      <c r="AI32" s="1">
        <f>SUBTOTAL(109,KDA[Opgegeven junioren])</f>
        <v>1</v>
      </c>
      <c r="AJ32" s="1">
        <f>SUBTOTAL(109,KDA[Opgegeven aspiranten])</f>
        <v>0</v>
      </c>
      <c r="AK32" s="1">
        <f>COUNTIF(KDA[Marketentsters],"x")</f>
        <v>1</v>
      </c>
      <c r="AL32" s="1">
        <f>COUNTIF(KDA[Luchtgeweer],"x")</f>
        <v>17</v>
      </c>
      <c r="AM32">
        <f>SUBTOTAL(109,KDA[Aantal luchtgeweerschutters])</f>
        <v>95</v>
      </c>
      <c r="AN32" s="1">
        <f>COUNTIF(KDA[Luchtpistool],"x")</f>
        <v>14</v>
      </c>
      <c r="AO32" s="1">
        <f>SUBTOTAL(109,KDA[Aantal luchtpistoolschutters])</f>
        <v>76</v>
      </c>
      <c r="AP32" s="1">
        <f>COUNTIF(KDA[Handboog],"x")</f>
        <v>3</v>
      </c>
      <c r="AQ32">
        <f>SUBTOTAL(109,KDA[Aantal handboogschutters])</f>
        <v>18</v>
      </c>
      <c r="AR32" s="1">
        <f>COUNTIF(KDA[Kruisboog],"x")</f>
        <v>13</v>
      </c>
      <c r="AS32" s="1">
        <f>SUBTOTAL(109,KDA[Aantal kruisboogschutters])</f>
        <v>75</v>
      </c>
      <c r="AT32" s="1">
        <f>COUNTIF(KDA[Luchtgeweer jeugd niet ouder dan 17 jaar.],"x")</f>
        <v>5</v>
      </c>
      <c r="AU32" s="1">
        <f>SUBTOTAL(109,KDA[Aantal korpsen])</f>
        <v>9</v>
      </c>
      <c r="AV32" s="1">
        <f>SUBTOTAL(109,KDA[Opgegeven jeugdkorpsen LG])</f>
        <v>8</v>
      </c>
      <c r="AW32" s="1">
        <f>SUBTOTAL(109,KDA[Totaal aantal deelnemers])</f>
        <v>983</v>
      </c>
      <c r="AX32" s="1">
        <f>SUBTOTAL(109,KDA[Waarvan aantal jeugd (t/m 15 jaar)])</f>
        <v>133</v>
      </c>
      <c r="AY32" s="84">
        <f>COUNTIF(KDA[Kanon etc.],"x")</f>
        <v>3</v>
      </c>
      <c r="AZ32" s="1">
        <f>COUNTIF(KDA[Paarden en/of koetsen],"x")</f>
        <v>0</v>
      </c>
      <c r="BA32" s="63"/>
      <c r="BB32" s="1"/>
      <c r="BC32" s="1"/>
      <c r="BD32" s="1"/>
      <c r="BE32" s="1"/>
      <c r="BF32" s="1"/>
      <c r="BG32" s="1"/>
      <c r="BH32" s="1"/>
      <c r="BI32" s="1"/>
      <c r="BJ32" s="1"/>
      <c r="BK32" s="1"/>
      <c r="BL32" s="1"/>
      <c r="BM32" s="1"/>
      <c r="BN32" s="1"/>
      <c r="BO32" s="1"/>
      <c r="BP32" s="1"/>
      <c r="BQ32" s="1"/>
      <c r="BR32" s="1"/>
      <c r="BS32" s="1"/>
      <c r="BT32" s="1"/>
      <c r="BU32" s="1"/>
      <c r="BV32" s="1"/>
      <c r="BW32" s="1">
        <f>SUBTOTAL(109,KDA[Aantal opgegeven majorettes])</f>
        <v>40</v>
      </c>
      <c r="CG32" s="1"/>
      <c r="CH32" s="1"/>
      <c r="CI32" s="1"/>
      <c r="CV32"/>
      <c r="CW32"/>
      <c r="CX32"/>
    </row>
  </sheetData>
  <mergeCells count="14">
    <mergeCell ref="A1:CK1"/>
    <mergeCell ref="A2:CK2"/>
    <mergeCell ref="D3:H3"/>
    <mergeCell ref="I3:Y3"/>
    <mergeCell ref="Z3:AA3"/>
    <mergeCell ref="AL3:AV3"/>
    <mergeCell ref="BE3:BR3"/>
    <mergeCell ref="BS3:CE3"/>
    <mergeCell ref="AW3:BD3"/>
    <mergeCell ref="N4:P4"/>
    <mergeCell ref="Q4:S4"/>
    <mergeCell ref="T4:Y4"/>
    <mergeCell ref="BE4:BK4"/>
    <mergeCell ref="BL4:BR4"/>
  </mergeCells>
  <phoneticPr fontId="2" type="noConversion"/>
  <conditionalFormatting sqref="W6:W31">
    <cfRule type="expression" dxfId="26" priority="6">
      <formula>$T6-$W6&lt;&gt;0</formula>
    </cfRule>
  </conditionalFormatting>
  <conditionalFormatting sqref="X6:X31">
    <cfRule type="expression" dxfId="25" priority="7">
      <formula>$U6-$X6&lt;&gt;0</formula>
    </cfRule>
  </conditionalFormatting>
  <conditionalFormatting sqref="Y6:Y31">
    <cfRule type="expression" dxfId="24" priority="8">
      <formula>$V6-$Y6&lt;&gt;0</formula>
    </cfRule>
  </conditionalFormatting>
  <conditionalFormatting sqref="AG6:AG31">
    <cfRule type="expression" dxfId="23" priority="5">
      <formula>$AC6-$AG6&lt;&gt;0</formula>
    </cfRule>
  </conditionalFormatting>
  <conditionalFormatting sqref="AH6:AH31">
    <cfRule type="expression" dxfId="22" priority="4">
      <formula>$AD6-$AH6&lt;&gt;0</formula>
    </cfRule>
  </conditionalFormatting>
  <conditionalFormatting sqref="AI6:AI31">
    <cfRule type="expression" dxfId="21" priority="3">
      <formula>$AE6-$AI6&lt;&gt;0</formula>
    </cfRule>
  </conditionalFormatting>
  <conditionalFormatting sqref="AJ6:AJ31">
    <cfRule type="expression" dxfId="20" priority="2">
      <formula>$AF6-$AJ6&lt;&gt;0</formula>
    </cfRule>
  </conditionalFormatting>
  <conditionalFormatting sqref="AV6:AV31">
    <cfRule type="expression" dxfId="19" priority="1">
      <formula>$AU6-$AV6&lt;&gt;0</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C07CA-0AAA-4DAD-9D01-38C57DE0F2FF}">
  <dimension ref="A1:CG22"/>
  <sheetViews>
    <sheetView zoomScale="110" zoomScaleNormal="110" workbookViewId="0">
      <pane xSplit="3" ySplit="6" topLeftCell="AZ20" activePane="bottomRight" state="frozen"/>
      <selection pane="topRight" activeCell="D1" sqref="D1"/>
      <selection pane="bottomLeft" activeCell="A7" sqref="A7"/>
      <selection pane="bottomRight" activeCell="A23" sqref="A23:XFD35"/>
    </sheetView>
  </sheetViews>
  <sheetFormatPr baseColWidth="10" defaultColWidth="9.1640625" defaultRowHeight="15" x14ac:dyDescent="0.2"/>
  <cols>
    <col min="1" max="1" width="11.5" bestFit="1" customWidth="1"/>
    <col min="2" max="2" width="8.6640625" bestFit="1" customWidth="1"/>
    <col min="3" max="3" width="58.83203125" bestFit="1" customWidth="1"/>
    <col min="4" max="4" width="3.5" style="1" bestFit="1" customWidth="1"/>
    <col min="5" max="8" width="8.5" style="1" bestFit="1" customWidth="1"/>
    <col min="9" max="9" width="8.5" style="1" customWidth="1"/>
    <col min="10" max="16" width="8.5" style="1" bestFit="1" customWidth="1"/>
    <col min="17" max="19" width="7.6640625" style="1" hidden="1" customWidth="1"/>
    <col min="20" max="26" width="8.5" style="1" bestFit="1" customWidth="1"/>
    <col min="27" max="27" width="7.6640625" style="1" hidden="1" customWidth="1"/>
    <col min="28" max="32" width="8.5" style="1" bestFit="1" customWidth="1"/>
    <col min="33" max="36" width="3.5" style="1" bestFit="1" customWidth="1"/>
    <col min="37" max="38" width="8.5" style="1" bestFit="1" customWidth="1"/>
    <col min="39" max="39" width="3.5" style="1" bestFit="1" customWidth="1"/>
    <col min="40" max="40" width="8.5" style="1" bestFit="1" customWidth="1"/>
    <col min="41" max="41" width="3.5" style="1" bestFit="1" customWidth="1"/>
    <col min="42" max="42" width="8.5" style="1" hidden="1" customWidth="1"/>
    <col min="43" max="43" width="3.5" style="1" hidden="1" customWidth="1"/>
    <col min="44" max="44" width="8.5" style="61" bestFit="1" customWidth="1"/>
    <col min="45" max="45" width="3.5" bestFit="1" customWidth="1"/>
    <col min="46" max="47" width="8.5" bestFit="1" customWidth="1"/>
    <col min="48" max="48" width="3.5" bestFit="1" customWidth="1"/>
    <col min="49" max="49" width="8.5" style="63" bestFit="1" customWidth="1"/>
    <col min="50" max="50" width="8.5" style="1" bestFit="1" customWidth="1"/>
    <col min="51" max="52" width="8.5" bestFit="1" customWidth="1"/>
    <col min="53" max="53" width="60.33203125" bestFit="1" customWidth="1"/>
    <col min="54" max="54" width="8.5" bestFit="1" customWidth="1"/>
    <col min="55" max="56" width="15" bestFit="1" customWidth="1"/>
    <col min="57" max="57" width="29.1640625" bestFit="1" customWidth="1"/>
    <col min="58" max="58" width="8.5" bestFit="1" customWidth="1"/>
    <col min="59" max="59" width="20" bestFit="1" customWidth="1"/>
    <col min="60" max="60" width="28.33203125" bestFit="1" customWidth="1"/>
    <col min="61" max="61" width="21.83203125" bestFit="1" customWidth="1"/>
    <col min="62" max="62" width="21.1640625" bestFit="1" customWidth="1"/>
    <col min="63" max="63" width="8.5" bestFit="1" customWidth="1"/>
    <col min="64" max="70" width="7.6640625" hidden="1" customWidth="1"/>
    <col min="71" max="71" width="8.5" bestFit="1" customWidth="1"/>
    <col min="72" max="72" width="17.6640625" bestFit="1" customWidth="1"/>
    <col min="73" max="73" width="20.5" bestFit="1" customWidth="1"/>
    <col min="74" max="74" width="17.5" bestFit="1" customWidth="1"/>
    <col min="75" max="75" width="8.5" bestFit="1" customWidth="1"/>
    <col min="76" max="76" width="39.33203125" style="1" bestFit="1" customWidth="1"/>
    <col min="77" max="77" width="42" style="1" bestFit="1" customWidth="1"/>
    <col min="78" max="78" width="35.6640625" style="1" bestFit="1" customWidth="1"/>
    <col min="79" max="80" width="7.6640625" style="1" bestFit="1" customWidth="1"/>
    <col min="81" max="81" width="10.1640625" style="1" bestFit="1" customWidth="1"/>
    <col min="82" max="82" width="15.6640625" style="1" bestFit="1" customWidth="1"/>
  </cols>
  <sheetData>
    <row r="1" spans="1:85" ht="27" customHeight="1" x14ac:dyDescent="0.2">
      <c r="A1" s="148" t="s">
        <v>83</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72"/>
      <c r="BY1" s="72"/>
      <c r="BZ1" s="72"/>
      <c r="CA1" s="72"/>
      <c r="CB1" s="72"/>
      <c r="CC1" s="72"/>
      <c r="CD1" s="72"/>
    </row>
    <row r="2" spans="1:85" ht="20" thickBot="1" x14ac:dyDescent="0.3">
      <c r="A2" s="149" t="s">
        <v>142</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73"/>
      <c r="BY2" s="73"/>
      <c r="BZ2" s="73"/>
      <c r="CA2" s="73"/>
      <c r="CB2" s="73"/>
      <c r="CC2" s="73"/>
      <c r="CD2" s="73"/>
    </row>
    <row r="3" spans="1:85" ht="16" thickBot="1" x14ac:dyDescent="0.25">
      <c r="A3" s="20"/>
      <c r="B3" s="21"/>
      <c r="C3" s="22"/>
      <c r="D3" s="139" t="s">
        <v>1</v>
      </c>
      <c r="E3" s="140"/>
      <c r="F3" s="140"/>
      <c r="G3" s="140"/>
      <c r="H3" s="141"/>
      <c r="I3" s="142" t="s">
        <v>2</v>
      </c>
      <c r="J3" s="143"/>
      <c r="K3" s="143"/>
      <c r="L3" s="143"/>
      <c r="M3" s="143"/>
      <c r="N3" s="143"/>
      <c r="O3" s="143"/>
      <c r="P3" s="143"/>
      <c r="Q3" s="143"/>
      <c r="R3" s="143"/>
      <c r="S3" s="143"/>
      <c r="T3" s="143"/>
      <c r="U3" s="143"/>
      <c r="V3" s="143"/>
      <c r="W3" s="143"/>
      <c r="X3" s="143"/>
      <c r="Y3" s="144"/>
      <c r="Z3" s="139" t="s">
        <v>3</v>
      </c>
      <c r="AA3" s="141"/>
      <c r="AB3" s="26" t="s">
        <v>4</v>
      </c>
      <c r="AC3" s="93" t="s">
        <v>5</v>
      </c>
      <c r="AD3" s="94"/>
      <c r="AE3" s="94"/>
      <c r="AF3" s="94"/>
      <c r="AG3" s="94"/>
      <c r="AH3" s="94"/>
      <c r="AI3" s="94"/>
      <c r="AJ3" s="95"/>
      <c r="AK3" s="26" t="s">
        <v>6</v>
      </c>
      <c r="AL3" s="139" t="s">
        <v>7</v>
      </c>
      <c r="AM3" s="140"/>
      <c r="AN3" s="140"/>
      <c r="AO3" s="140"/>
      <c r="AP3" s="140"/>
      <c r="AQ3" s="140"/>
      <c r="AR3" s="140"/>
      <c r="AS3" s="140"/>
      <c r="AT3" s="140"/>
      <c r="AU3" s="140"/>
      <c r="AV3" s="141"/>
      <c r="AW3" s="139" t="s">
        <v>8</v>
      </c>
      <c r="AX3" s="140"/>
      <c r="AY3" s="140"/>
      <c r="AZ3" s="140"/>
      <c r="BA3" s="140"/>
      <c r="BB3" s="140"/>
      <c r="BC3" s="140"/>
      <c r="BD3" s="141"/>
      <c r="BE3" s="142" t="s">
        <v>9</v>
      </c>
      <c r="BF3" s="143"/>
      <c r="BG3" s="143"/>
      <c r="BH3" s="143"/>
      <c r="BI3" s="143"/>
      <c r="BJ3" s="143"/>
      <c r="BK3" s="143"/>
      <c r="BL3" s="143"/>
      <c r="BM3" s="143"/>
      <c r="BN3" s="143"/>
      <c r="BO3" s="143"/>
      <c r="BP3" s="143"/>
      <c r="BQ3" s="143"/>
      <c r="BR3" s="143"/>
      <c r="BS3" s="145" t="s">
        <v>10</v>
      </c>
      <c r="BT3" s="146"/>
      <c r="BU3" s="146"/>
      <c r="BV3" s="146"/>
      <c r="BW3" s="147"/>
      <c r="BX3"/>
      <c r="BY3"/>
      <c r="BZ3"/>
      <c r="CA3"/>
      <c r="CB3"/>
      <c r="CC3"/>
      <c r="CD3"/>
    </row>
    <row r="4" spans="1:85" ht="16" thickBot="1" x14ac:dyDescent="0.25">
      <c r="A4" s="23"/>
      <c r="B4" s="24"/>
      <c r="C4" s="25"/>
      <c r="D4" s="23"/>
      <c r="E4" s="24"/>
      <c r="F4" s="24"/>
      <c r="G4" s="24"/>
      <c r="H4" s="25"/>
      <c r="I4" s="142" t="s">
        <v>11</v>
      </c>
      <c r="J4" s="143"/>
      <c r="K4" s="143"/>
      <c r="L4" s="143"/>
      <c r="M4" s="144"/>
      <c r="N4" s="142" t="s">
        <v>88</v>
      </c>
      <c r="O4" s="143"/>
      <c r="P4" s="144"/>
      <c r="Q4" s="142" t="s">
        <v>13</v>
      </c>
      <c r="R4" s="143"/>
      <c r="S4" s="144"/>
      <c r="T4" s="142" t="s">
        <v>14</v>
      </c>
      <c r="U4" s="143"/>
      <c r="V4" s="143"/>
      <c r="W4" s="143"/>
      <c r="X4" s="143"/>
      <c r="Y4" s="144"/>
      <c r="Z4" s="23"/>
      <c r="AA4" s="25"/>
      <c r="AB4" s="27"/>
      <c r="AC4" s="23"/>
      <c r="AD4" s="24"/>
      <c r="AE4" s="24"/>
      <c r="AF4" s="24"/>
      <c r="AG4" s="24"/>
      <c r="AH4" s="24"/>
      <c r="AI4" s="24"/>
      <c r="AJ4" s="25"/>
      <c r="AK4" s="27"/>
      <c r="AL4" s="23"/>
      <c r="AM4" s="24"/>
      <c r="AN4" s="24"/>
      <c r="AO4" s="24"/>
      <c r="AP4" s="24"/>
      <c r="AQ4" s="24"/>
      <c r="AR4" s="24"/>
      <c r="AS4" s="24"/>
      <c r="AT4" s="24"/>
      <c r="AU4" s="24"/>
      <c r="AV4" s="25"/>
      <c r="AW4" s="23"/>
      <c r="AX4" s="24"/>
      <c r="AY4" s="24"/>
      <c r="AZ4" s="24"/>
      <c r="BA4" s="62"/>
      <c r="BB4" s="24"/>
      <c r="BC4" s="24"/>
      <c r="BD4" s="25"/>
      <c r="BE4" s="142" t="s">
        <v>15</v>
      </c>
      <c r="BF4" s="143"/>
      <c r="BG4" s="143"/>
      <c r="BH4" s="143"/>
      <c r="BI4" s="143"/>
      <c r="BJ4" s="143"/>
      <c r="BK4" s="144"/>
      <c r="BL4" s="142" t="s">
        <v>16</v>
      </c>
      <c r="BM4" s="143"/>
      <c r="BN4" s="143"/>
      <c r="BO4" s="143"/>
      <c r="BP4" s="143"/>
      <c r="BQ4" s="143"/>
      <c r="BR4" s="144"/>
      <c r="BS4" s="119"/>
      <c r="BT4" s="97"/>
      <c r="BU4" s="97"/>
      <c r="BV4" s="97"/>
      <c r="BW4" s="98"/>
      <c r="BX4" s="34"/>
      <c r="BY4" s="34"/>
      <c r="BZ4"/>
      <c r="CA4"/>
      <c r="CB4"/>
      <c r="CC4"/>
      <c r="CD4"/>
    </row>
    <row r="5" spans="1:85" ht="6.75" hidden="1" customHeight="1" x14ac:dyDescent="0.2">
      <c r="AR5" s="63"/>
      <c r="AS5" s="1"/>
      <c r="AT5" s="1"/>
      <c r="AU5" s="1"/>
      <c r="AV5" s="1"/>
      <c r="AY5" s="1"/>
      <c r="AZ5" s="1"/>
      <c r="BA5" s="1"/>
      <c r="BB5" s="1"/>
      <c r="BC5" s="1"/>
      <c r="BD5" s="1"/>
      <c r="BE5" s="1"/>
      <c r="BF5" s="1"/>
      <c r="BG5" s="1"/>
      <c r="BH5" s="1"/>
      <c r="BI5" s="1"/>
      <c r="BJ5" s="1"/>
      <c r="BK5" s="1"/>
      <c r="BL5" s="1"/>
      <c r="BM5" s="1"/>
      <c r="BN5" s="1"/>
      <c r="BO5" s="1"/>
      <c r="BP5" s="1"/>
      <c r="BQ5" s="1"/>
      <c r="BR5" s="1"/>
      <c r="BS5" s="1"/>
      <c r="BT5" s="1"/>
      <c r="BU5" s="1"/>
      <c r="BV5" s="1"/>
      <c r="BW5" s="1"/>
      <c r="CE5" s="1"/>
      <c r="CF5" s="1"/>
      <c r="CG5" s="1"/>
    </row>
    <row r="6" spans="1:85" s="2" customFormat="1" ht="213" thickBot="1" x14ac:dyDescent="0.25">
      <c r="A6" s="6" t="s">
        <v>17</v>
      </c>
      <c r="B6" s="7" t="s">
        <v>18</v>
      </c>
      <c r="C6" s="8" t="s">
        <v>19</v>
      </c>
      <c r="D6" s="3" t="s">
        <v>20</v>
      </c>
      <c r="E6" s="4" t="s">
        <v>21</v>
      </c>
      <c r="F6" s="4" t="s">
        <v>22</v>
      </c>
      <c r="G6" s="4" t="s">
        <v>23</v>
      </c>
      <c r="H6" s="4" t="s">
        <v>24</v>
      </c>
      <c r="I6" s="9" t="s">
        <v>25</v>
      </c>
      <c r="J6" s="10" t="s">
        <v>126</v>
      </c>
      <c r="K6" s="10" t="s">
        <v>127</v>
      </c>
      <c r="L6" s="10" t="s">
        <v>128</v>
      </c>
      <c r="M6" s="11" t="s">
        <v>129</v>
      </c>
      <c r="N6" s="10" t="s">
        <v>26</v>
      </c>
      <c r="O6" s="10" t="s">
        <v>27</v>
      </c>
      <c r="P6" s="11" t="s">
        <v>28</v>
      </c>
      <c r="Q6" s="9" t="s">
        <v>29</v>
      </c>
      <c r="R6" s="10" t="s">
        <v>30</v>
      </c>
      <c r="S6" s="11" t="s">
        <v>31</v>
      </c>
      <c r="T6" s="9" t="s">
        <v>32</v>
      </c>
      <c r="U6" s="10" t="s">
        <v>33</v>
      </c>
      <c r="V6" s="10" t="s">
        <v>34</v>
      </c>
      <c r="W6" s="12" t="s">
        <v>35</v>
      </c>
      <c r="X6" s="12" t="s">
        <v>36</v>
      </c>
      <c r="Y6" s="13" t="s">
        <v>37</v>
      </c>
      <c r="Z6" s="9" t="s">
        <v>15</v>
      </c>
      <c r="AA6" s="11" t="s">
        <v>16</v>
      </c>
      <c r="AB6" s="10" t="s">
        <v>110</v>
      </c>
      <c r="AC6" s="9" t="s">
        <v>38</v>
      </c>
      <c r="AD6" s="10" t="s">
        <v>111</v>
      </c>
      <c r="AE6" s="10" t="s">
        <v>39</v>
      </c>
      <c r="AF6" s="10" t="s">
        <v>40</v>
      </c>
      <c r="AG6" s="92" t="s">
        <v>112</v>
      </c>
      <c r="AH6" s="92" t="s">
        <v>113</v>
      </c>
      <c r="AI6" s="92" t="s">
        <v>114</v>
      </c>
      <c r="AJ6" s="99" t="s">
        <v>115</v>
      </c>
      <c r="AK6" s="14" t="s">
        <v>41</v>
      </c>
      <c r="AL6" s="9" t="s">
        <v>42</v>
      </c>
      <c r="AM6" s="92" t="s">
        <v>122</v>
      </c>
      <c r="AN6" s="10" t="s">
        <v>43</v>
      </c>
      <c r="AO6" s="92" t="s">
        <v>123</v>
      </c>
      <c r="AP6" s="10" t="s">
        <v>45</v>
      </c>
      <c r="AQ6" s="92" t="s">
        <v>124</v>
      </c>
      <c r="AR6" s="10" t="s">
        <v>44</v>
      </c>
      <c r="AS6" s="92" t="s">
        <v>125</v>
      </c>
      <c r="AT6" s="10" t="s">
        <v>116</v>
      </c>
      <c r="AU6" s="10" t="s">
        <v>117</v>
      </c>
      <c r="AV6" s="92" t="s">
        <v>118</v>
      </c>
      <c r="AW6" s="9" t="s">
        <v>46</v>
      </c>
      <c r="AX6" s="10" t="s">
        <v>47</v>
      </c>
      <c r="AY6" s="10" t="s">
        <v>48</v>
      </c>
      <c r="AZ6" s="10" t="s">
        <v>49</v>
      </c>
      <c r="BA6" s="96" t="s">
        <v>50</v>
      </c>
      <c r="BB6" s="10" t="s">
        <v>51</v>
      </c>
      <c r="BC6" s="10" t="s">
        <v>52</v>
      </c>
      <c r="BD6" s="10" t="s">
        <v>108</v>
      </c>
      <c r="BE6" s="9" t="s">
        <v>53</v>
      </c>
      <c r="BF6" s="10" t="s">
        <v>54</v>
      </c>
      <c r="BG6" s="10" t="s">
        <v>55</v>
      </c>
      <c r="BH6" s="10" t="s">
        <v>56</v>
      </c>
      <c r="BI6" s="10" t="s">
        <v>57</v>
      </c>
      <c r="BJ6" s="10" t="s">
        <v>58</v>
      </c>
      <c r="BK6" s="11" t="s">
        <v>59</v>
      </c>
      <c r="BL6" s="9" t="s">
        <v>60</v>
      </c>
      <c r="BM6" s="10" t="s">
        <v>61</v>
      </c>
      <c r="BN6" s="10" t="s">
        <v>62</v>
      </c>
      <c r="BO6" s="10" t="s">
        <v>63</v>
      </c>
      <c r="BP6" s="10" t="s">
        <v>64</v>
      </c>
      <c r="BQ6" s="10" t="s">
        <v>65</v>
      </c>
      <c r="BR6" s="10" t="s">
        <v>66</v>
      </c>
      <c r="BS6" s="9" t="s">
        <v>70</v>
      </c>
      <c r="BT6" s="10" t="s">
        <v>67</v>
      </c>
      <c r="BU6" s="10" t="s">
        <v>68</v>
      </c>
      <c r="BV6" s="10" t="s">
        <v>69</v>
      </c>
      <c r="BW6" s="11" t="s">
        <v>71</v>
      </c>
    </row>
    <row r="7" spans="1:85" ht="48" x14ac:dyDescent="0.2">
      <c r="A7" t="s">
        <v>136</v>
      </c>
      <c r="B7" t="s">
        <v>359</v>
      </c>
      <c r="C7" t="s">
        <v>360</v>
      </c>
      <c r="D7" s="1" t="s">
        <v>73</v>
      </c>
      <c r="E7" s="1" t="s">
        <v>72</v>
      </c>
      <c r="F7" s="1" t="s">
        <v>72</v>
      </c>
      <c r="G7" s="1" t="s">
        <v>73</v>
      </c>
      <c r="J7">
        <v>1</v>
      </c>
      <c r="K7"/>
      <c r="L7"/>
      <c r="M7"/>
      <c r="Q7" s="1" t="s">
        <v>73</v>
      </c>
      <c r="R7" s="1" t="s">
        <v>73</v>
      </c>
      <c r="S7" s="1" t="s">
        <v>73</v>
      </c>
      <c r="Z7" s="1" t="s">
        <v>73</v>
      </c>
      <c r="AA7" s="1" t="s">
        <v>73</v>
      </c>
      <c r="AB7"/>
      <c r="AD7"/>
      <c r="AG7"/>
      <c r="AH7"/>
      <c r="AI7"/>
      <c r="AJ7"/>
      <c r="AK7" s="1" t="s">
        <v>72</v>
      </c>
      <c r="AL7" s="1" t="s">
        <v>72</v>
      </c>
      <c r="AM7">
        <v>6</v>
      </c>
      <c r="AN7" s="1" t="s">
        <v>73</v>
      </c>
      <c r="AO7"/>
      <c r="AP7" s="1" t="s">
        <v>73</v>
      </c>
      <c r="AQ7"/>
      <c r="AR7" s="1" t="s">
        <v>72</v>
      </c>
      <c r="AS7">
        <v>6</v>
      </c>
      <c r="AT7" t="s">
        <v>72</v>
      </c>
      <c r="AU7">
        <v>1</v>
      </c>
      <c r="AW7" s="1">
        <v>25</v>
      </c>
      <c r="AX7" s="1">
        <v>6</v>
      </c>
      <c r="AY7" t="s">
        <v>73</v>
      </c>
      <c r="AZ7" t="s">
        <v>73</v>
      </c>
      <c r="BA7" s="61" t="s">
        <v>361</v>
      </c>
      <c r="BB7">
        <v>1981</v>
      </c>
      <c r="BC7" s="85">
        <v>45656.850648148145</v>
      </c>
      <c r="BD7" s="85">
        <v>45656.808981481481</v>
      </c>
      <c r="BE7" t="s">
        <v>73</v>
      </c>
      <c r="BF7" t="s">
        <v>73</v>
      </c>
      <c r="BG7" t="s">
        <v>73</v>
      </c>
      <c r="BH7" t="s">
        <v>73</v>
      </c>
      <c r="BI7" t="s">
        <v>73</v>
      </c>
      <c r="BJ7" t="s">
        <v>73</v>
      </c>
      <c r="BL7" t="s">
        <v>73</v>
      </c>
      <c r="BM7" t="s">
        <v>73</v>
      </c>
      <c r="BN7" t="s">
        <v>73</v>
      </c>
      <c r="BO7" t="s">
        <v>73</v>
      </c>
      <c r="BP7" t="s">
        <v>73</v>
      </c>
      <c r="BQ7" s="1" t="s">
        <v>73</v>
      </c>
      <c r="BR7" s="1"/>
      <c r="BS7" s="1" t="s">
        <v>73</v>
      </c>
      <c r="BT7" s="1" t="s">
        <v>369</v>
      </c>
      <c r="BU7" s="1" t="s">
        <v>369</v>
      </c>
      <c r="BV7" s="1" t="s">
        <v>369</v>
      </c>
      <c r="BW7" s="1"/>
      <c r="BX7"/>
      <c r="BY7"/>
      <c r="BZ7"/>
      <c r="CA7"/>
      <c r="CB7"/>
      <c r="CC7"/>
      <c r="CD7"/>
    </row>
    <row r="8" spans="1:85" ht="16" x14ac:dyDescent="0.2">
      <c r="A8" t="s">
        <v>136</v>
      </c>
      <c r="B8" t="s">
        <v>345</v>
      </c>
      <c r="C8" t="s">
        <v>346</v>
      </c>
      <c r="D8" s="1" t="s">
        <v>73</v>
      </c>
      <c r="E8" s="1" t="s">
        <v>72</v>
      </c>
      <c r="F8" s="1" t="s">
        <v>73</v>
      </c>
      <c r="G8" s="1" t="s">
        <v>73</v>
      </c>
      <c r="I8" s="1">
        <v>10</v>
      </c>
      <c r="J8"/>
      <c r="K8"/>
      <c r="L8">
        <v>4</v>
      </c>
      <c r="M8"/>
      <c r="Q8" s="1" t="s">
        <v>73</v>
      </c>
      <c r="R8" s="1" t="s">
        <v>73</v>
      </c>
      <c r="S8" s="1" t="s">
        <v>73</v>
      </c>
      <c r="T8" s="1">
        <v>1</v>
      </c>
      <c r="W8" s="1">
        <v>1</v>
      </c>
      <c r="Z8" s="1" t="s">
        <v>73</v>
      </c>
      <c r="AA8" s="1" t="s">
        <v>73</v>
      </c>
      <c r="AB8"/>
      <c r="AC8" s="1">
        <v>4</v>
      </c>
      <c r="AD8"/>
      <c r="AG8">
        <v>4</v>
      </c>
      <c r="AH8"/>
      <c r="AI8"/>
      <c r="AJ8"/>
      <c r="AK8" s="1" t="s">
        <v>72</v>
      </c>
      <c r="AL8" s="1" t="s">
        <v>72</v>
      </c>
      <c r="AM8">
        <v>6</v>
      </c>
      <c r="AN8" s="1" t="s">
        <v>72</v>
      </c>
      <c r="AO8">
        <v>6</v>
      </c>
      <c r="AP8" s="1" t="s">
        <v>73</v>
      </c>
      <c r="AQ8"/>
      <c r="AR8" s="1" t="s">
        <v>72</v>
      </c>
      <c r="AS8">
        <v>6</v>
      </c>
      <c r="AT8" t="s">
        <v>72</v>
      </c>
      <c r="AU8">
        <v>1</v>
      </c>
      <c r="AV8">
        <v>1</v>
      </c>
      <c r="AW8" s="1">
        <v>65</v>
      </c>
      <c r="AX8" s="1">
        <v>12</v>
      </c>
      <c r="AY8" t="s">
        <v>72</v>
      </c>
      <c r="AZ8" t="s">
        <v>73</v>
      </c>
      <c r="BA8" s="61" t="s">
        <v>73</v>
      </c>
      <c r="BB8">
        <v>1974</v>
      </c>
      <c r="BC8" s="85">
        <v>45656.486018518517</v>
      </c>
      <c r="BD8" s="85">
        <v>45656.444351851853</v>
      </c>
      <c r="BE8" t="s">
        <v>73</v>
      </c>
      <c r="BF8" t="s">
        <v>73</v>
      </c>
      <c r="BG8" t="s">
        <v>73</v>
      </c>
      <c r="BH8" t="s">
        <v>73</v>
      </c>
      <c r="BI8" t="s">
        <v>73</v>
      </c>
      <c r="BJ8" t="s">
        <v>73</v>
      </c>
      <c r="BL8" t="s">
        <v>73</v>
      </c>
      <c r="BM8" t="s">
        <v>73</v>
      </c>
      <c r="BN8" t="s">
        <v>73</v>
      </c>
      <c r="BO8" t="s">
        <v>73</v>
      </c>
      <c r="BP8" t="s">
        <v>73</v>
      </c>
      <c r="BQ8" s="1" t="s">
        <v>73</v>
      </c>
      <c r="BR8" s="1"/>
      <c r="BS8" s="1" t="s">
        <v>73</v>
      </c>
      <c r="BT8" s="1" t="s">
        <v>369</v>
      </c>
      <c r="BU8" s="1" t="s">
        <v>369</v>
      </c>
      <c r="BV8" s="1" t="s">
        <v>369</v>
      </c>
      <c r="BW8" s="1"/>
      <c r="BX8"/>
      <c r="BY8"/>
      <c r="BZ8"/>
      <c r="CA8"/>
      <c r="CB8"/>
      <c r="CC8"/>
      <c r="CD8"/>
    </row>
    <row r="9" spans="1:85" ht="16" x14ac:dyDescent="0.2">
      <c r="A9" t="s">
        <v>136</v>
      </c>
      <c r="B9" t="s">
        <v>309</v>
      </c>
      <c r="C9" t="s">
        <v>310</v>
      </c>
      <c r="D9" s="1" t="s">
        <v>73</v>
      </c>
      <c r="E9" s="1" t="s">
        <v>72</v>
      </c>
      <c r="F9" s="1" t="s">
        <v>72</v>
      </c>
      <c r="G9" s="1" t="s">
        <v>73</v>
      </c>
      <c r="I9" s="1">
        <v>14</v>
      </c>
      <c r="J9">
        <v>3</v>
      </c>
      <c r="K9"/>
      <c r="L9"/>
      <c r="M9"/>
      <c r="N9" s="1">
        <v>4</v>
      </c>
      <c r="O9" s="1">
        <v>3</v>
      </c>
      <c r="Q9" s="1" t="s">
        <v>73</v>
      </c>
      <c r="R9" s="1" t="s">
        <v>73</v>
      </c>
      <c r="S9" s="1" t="s">
        <v>73</v>
      </c>
      <c r="T9" s="1">
        <v>3</v>
      </c>
      <c r="U9" s="1">
        <v>2</v>
      </c>
      <c r="W9" s="1">
        <v>2</v>
      </c>
      <c r="X9" s="1">
        <v>2</v>
      </c>
      <c r="Y9" s="1">
        <v>1</v>
      </c>
      <c r="Z9" s="1" t="s">
        <v>73</v>
      </c>
      <c r="AA9" s="1" t="s">
        <v>73</v>
      </c>
      <c r="AB9"/>
      <c r="AC9" s="1">
        <v>2</v>
      </c>
      <c r="AD9">
        <v>1</v>
      </c>
      <c r="AE9" s="1">
        <v>1</v>
      </c>
      <c r="AG9">
        <v>2</v>
      </c>
      <c r="AH9">
        <v>1</v>
      </c>
      <c r="AI9">
        <v>1</v>
      </c>
      <c r="AJ9"/>
      <c r="AK9" s="1" t="s">
        <v>73</v>
      </c>
      <c r="AL9" s="1" t="s">
        <v>72</v>
      </c>
      <c r="AM9">
        <v>4</v>
      </c>
      <c r="AN9" s="1" t="s">
        <v>72</v>
      </c>
      <c r="AO9">
        <v>4</v>
      </c>
      <c r="AP9" s="1" t="s">
        <v>73</v>
      </c>
      <c r="AQ9"/>
      <c r="AR9" s="1" t="s">
        <v>72</v>
      </c>
      <c r="AS9">
        <v>4</v>
      </c>
      <c r="AT9" t="s">
        <v>72</v>
      </c>
      <c r="AU9">
        <v>2</v>
      </c>
      <c r="AW9" s="1">
        <v>50</v>
      </c>
      <c r="AX9" s="1">
        <v>5</v>
      </c>
      <c r="AY9" t="s">
        <v>72</v>
      </c>
      <c r="AZ9" t="s">
        <v>73</v>
      </c>
      <c r="BA9" s="61" t="s">
        <v>73</v>
      </c>
      <c r="BB9">
        <v>1947</v>
      </c>
      <c r="BC9" s="85">
        <v>45653.784594907411</v>
      </c>
      <c r="BD9" s="85">
        <v>45653.742928240739</v>
      </c>
      <c r="BE9" t="s">
        <v>73</v>
      </c>
      <c r="BF9" t="s">
        <v>73</v>
      </c>
      <c r="BG9" t="s">
        <v>73</v>
      </c>
      <c r="BH9" t="s">
        <v>73</v>
      </c>
      <c r="BI9" t="s">
        <v>73</v>
      </c>
      <c r="BJ9" t="s">
        <v>73</v>
      </c>
      <c r="BL9" t="s">
        <v>73</v>
      </c>
      <c r="BM9" t="s">
        <v>73</v>
      </c>
      <c r="BN9" t="s">
        <v>73</v>
      </c>
      <c r="BO9" t="s">
        <v>73</v>
      </c>
      <c r="BP9" t="s">
        <v>73</v>
      </c>
      <c r="BQ9" s="1" t="s">
        <v>73</v>
      </c>
      <c r="BR9" s="1"/>
      <c r="BS9" s="1" t="s">
        <v>73</v>
      </c>
      <c r="BT9" s="1" t="s">
        <v>369</v>
      </c>
      <c r="BU9" s="1" t="s">
        <v>369</v>
      </c>
      <c r="BV9" s="1" t="s">
        <v>369</v>
      </c>
      <c r="BW9" s="1"/>
      <c r="BX9"/>
      <c r="BY9"/>
      <c r="BZ9"/>
      <c r="CA9"/>
      <c r="CB9"/>
      <c r="CC9"/>
      <c r="CD9"/>
    </row>
    <row r="10" spans="1:85" ht="16" x14ac:dyDescent="0.2">
      <c r="A10" t="s">
        <v>136</v>
      </c>
      <c r="B10" t="s">
        <v>299</v>
      </c>
      <c r="C10" t="s">
        <v>300</v>
      </c>
      <c r="D10" s="1" t="s">
        <v>73</v>
      </c>
      <c r="E10" s="1" t="s">
        <v>72</v>
      </c>
      <c r="F10" s="1" t="s">
        <v>72</v>
      </c>
      <c r="G10" s="1" t="s">
        <v>73</v>
      </c>
      <c r="J10"/>
      <c r="K10"/>
      <c r="L10"/>
      <c r="M10"/>
      <c r="Q10" s="1" t="s">
        <v>73</v>
      </c>
      <c r="R10" s="1" t="s">
        <v>73</v>
      </c>
      <c r="S10" s="1" t="s">
        <v>73</v>
      </c>
      <c r="Z10" s="1" t="s">
        <v>72</v>
      </c>
      <c r="AA10" s="1" t="s">
        <v>73</v>
      </c>
      <c r="AB10"/>
      <c r="AD10"/>
      <c r="AG10"/>
      <c r="AH10"/>
      <c r="AI10"/>
      <c r="AJ10"/>
      <c r="AK10" s="1" t="s">
        <v>73</v>
      </c>
      <c r="AL10" s="1" t="s">
        <v>73</v>
      </c>
      <c r="AM10"/>
      <c r="AN10" s="1" t="s">
        <v>73</v>
      </c>
      <c r="AO10"/>
      <c r="AP10" s="1" t="s">
        <v>73</v>
      </c>
      <c r="AQ10"/>
      <c r="AR10" s="1" t="s">
        <v>73</v>
      </c>
      <c r="AT10" t="s">
        <v>73</v>
      </c>
      <c r="AW10" s="1">
        <v>30</v>
      </c>
      <c r="AX10" s="1">
        <v>2</v>
      </c>
      <c r="AY10" t="s">
        <v>73</v>
      </c>
      <c r="AZ10" t="s">
        <v>73</v>
      </c>
      <c r="BA10" s="61" t="s">
        <v>73</v>
      </c>
      <c r="BB10">
        <v>1933</v>
      </c>
      <c r="BC10" s="85">
        <v>45652.817465277774</v>
      </c>
      <c r="BD10" s="85">
        <v>45652.77579861111</v>
      </c>
      <c r="BE10" t="s">
        <v>300</v>
      </c>
      <c r="BF10" t="s">
        <v>78</v>
      </c>
      <c r="BG10" t="s">
        <v>76</v>
      </c>
      <c r="BH10" t="s">
        <v>162</v>
      </c>
      <c r="BI10" t="s">
        <v>301</v>
      </c>
      <c r="BJ10" t="s">
        <v>302</v>
      </c>
      <c r="BK10">
        <v>16</v>
      </c>
      <c r="BL10" t="s">
        <v>73</v>
      </c>
      <c r="BM10" t="s">
        <v>73</v>
      </c>
      <c r="BN10" t="s">
        <v>73</v>
      </c>
      <c r="BO10" t="s">
        <v>73</v>
      </c>
      <c r="BP10" t="s">
        <v>73</v>
      </c>
      <c r="BQ10" s="1" t="s">
        <v>73</v>
      </c>
      <c r="BR10" s="1"/>
      <c r="BS10" s="1" t="s">
        <v>73</v>
      </c>
      <c r="BT10" s="1" t="s">
        <v>369</v>
      </c>
      <c r="BU10" s="1" t="s">
        <v>369</v>
      </c>
      <c r="BV10" s="1" t="s">
        <v>369</v>
      </c>
      <c r="BW10" s="1"/>
      <c r="BX10"/>
      <c r="BY10"/>
      <c r="BZ10"/>
      <c r="CA10"/>
      <c r="CB10"/>
      <c r="CC10"/>
      <c r="CD10"/>
    </row>
    <row r="11" spans="1:85" ht="16" x14ac:dyDescent="0.2">
      <c r="A11" t="s">
        <v>136</v>
      </c>
      <c r="B11" t="s">
        <v>288</v>
      </c>
      <c r="C11" t="s">
        <v>289</v>
      </c>
      <c r="D11" s="1" t="s">
        <v>72</v>
      </c>
      <c r="E11" s="1" t="s">
        <v>73</v>
      </c>
      <c r="F11" s="1" t="s">
        <v>73</v>
      </c>
      <c r="G11" s="1" t="s">
        <v>73</v>
      </c>
      <c r="J11"/>
      <c r="K11"/>
      <c r="L11"/>
      <c r="M11"/>
      <c r="Q11" s="1" t="s">
        <v>73</v>
      </c>
      <c r="R11" s="1" t="s">
        <v>73</v>
      </c>
      <c r="S11" s="1" t="s">
        <v>73</v>
      </c>
      <c r="Z11" s="1" t="s">
        <v>73</v>
      </c>
      <c r="AA11" s="1" t="s">
        <v>73</v>
      </c>
      <c r="AB11"/>
      <c r="AD11"/>
      <c r="AG11"/>
      <c r="AH11"/>
      <c r="AI11"/>
      <c r="AJ11"/>
      <c r="AK11" s="1" t="s">
        <v>73</v>
      </c>
      <c r="AL11" s="1" t="s">
        <v>73</v>
      </c>
      <c r="AM11"/>
      <c r="AN11" s="1" t="s">
        <v>73</v>
      </c>
      <c r="AO11"/>
      <c r="AP11" s="1" t="s">
        <v>73</v>
      </c>
      <c r="AQ11"/>
      <c r="AR11" s="1" t="s">
        <v>73</v>
      </c>
      <c r="AT11" t="s">
        <v>73</v>
      </c>
      <c r="AW11" s="1">
        <v>10</v>
      </c>
      <c r="AX11" s="1">
        <v>0</v>
      </c>
      <c r="AY11" t="s">
        <v>73</v>
      </c>
      <c r="AZ11" t="s">
        <v>73</v>
      </c>
      <c r="BA11" s="61" t="s">
        <v>73</v>
      </c>
      <c r="BB11">
        <v>1930</v>
      </c>
      <c r="BC11" s="85">
        <v>45652.55091435185</v>
      </c>
      <c r="BD11" s="85">
        <v>45652.509247685186</v>
      </c>
      <c r="BE11" t="s">
        <v>73</v>
      </c>
      <c r="BF11" t="s">
        <v>73</v>
      </c>
      <c r="BG11" t="s">
        <v>73</v>
      </c>
      <c r="BH11" t="s">
        <v>73</v>
      </c>
      <c r="BI11" t="s">
        <v>73</v>
      </c>
      <c r="BJ11" t="s">
        <v>73</v>
      </c>
      <c r="BL11" t="s">
        <v>73</v>
      </c>
      <c r="BM11" t="s">
        <v>73</v>
      </c>
      <c r="BN11" t="s">
        <v>73</v>
      </c>
      <c r="BO11" t="s">
        <v>73</v>
      </c>
      <c r="BP11" t="s">
        <v>73</v>
      </c>
      <c r="BQ11" s="1" t="s">
        <v>73</v>
      </c>
      <c r="BR11" s="1"/>
      <c r="BS11" s="1" t="s">
        <v>73</v>
      </c>
      <c r="BT11" s="1" t="s">
        <v>369</v>
      </c>
      <c r="BU11" s="1" t="s">
        <v>369</v>
      </c>
      <c r="BV11" s="1" t="s">
        <v>369</v>
      </c>
      <c r="BW11" s="1"/>
      <c r="BX11"/>
      <c r="BY11"/>
      <c r="BZ11"/>
      <c r="CA11"/>
      <c r="CB11"/>
      <c r="CC11"/>
      <c r="CD11"/>
    </row>
    <row r="12" spans="1:85" ht="16" x14ac:dyDescent="0.2">
      <c r="A12" t="s">
        <v>136</v>
      </c>
      <c r="B12" t="s">
        <v>200</v>
      </c>
      <c r="C12" t="s">
        <v>201</v>
      </c>
      <c r="D12" s="1" t="s">
        <v>73</v>
      </c>
      <c r="E12" s="1" t="s">
        <v>73</v>
      </c>
      <c r="F12" s="1" t="s">
        <v>72</v>
      </c>
      <c r="G12" s="1" t="s">
        <v>72</v>
      </c>
      <c r="H12" s="1" t="s">
        <v>74</v>
      </c>
      <c r="J12"/>
      <c r="K12"/>
      <c r="L12"/>
      <c r="M12"/>
      <c r="Q12" s="1" t="s">
        <v>73</v>
      </c>
      <c r="R12" s="1" t="s">
        <v>73</v>
      </c>
      <c r="S12" s="1" t="s">
        <v>73</v>
      </c>
      <c r="Z12" s="1" t="s">
        <v>73</v>
      </c>
      <c r="AA12" s="1" t="s">
        <v>73</v>
      </c>
      <c r="AB12">
        <v>3</v>
      </c>
      <c r="AC12" s="1">
        <v>6</v>
      </c>
      <c r="AD12"/>
      <c r="AG12">
        <v>6</v>
      </c>
      <c r="AH12"/>
      <c r="AI12"/>
      <c r="AJ12"/>
      <c r="AK12" s="1" t="s">
        <v>72</v>
      </c>
      <c r="AL12" s="1" t="s">
        <v>72</v>
      </c>
      <c r="AM12">
        <v>6</v>
      </c>
      <c r="AN12" s="1" t="s">
        <v>72</v>
      </c>
      <c r="AO12">
        <v>6</v>
      </c>
      <c r="AP12" s="1" t="s">
        <v>73</v>
      </c>
      <c r="AQ12"/>
      <c r="AR12" s="1" t="s">
        <v>72</v>
      </c>
      <c r="AS12">
        <v>6</v>
      </c>
      <c r="AT12" t="s">
        <v>72</v>
      </c>
      <c r="AU12">
        <v>1</v>
      </c>
      <c r="AV12">
        <v>1</v>
      </c>
      <c r="AW12" s="1">
        <v>70</v>
      </c>
      <c r="AX12" s="1">
        <v>15</v>
      </c>
      <c r="AY12" t="s">
        <v>73</v>
      </c>
      <c r="AZ12" t="s">
        <v>73</v>
      </c>
      <c r="BA12" s="61" t="s">
        <v>73</v>
      </c>
      <c r="BB12">
        <v>1921</v>
      </c>
      <c r="BC12" s="85">
        <v>45651.534745370373</v>
      </c>
      <c r="BD12" s="85">
        <v>45657.500254629631</v>
      </c>
      <c r="BE12" t="s">
        <v>73</v>
      </c>
      <c r="BF12" t="s">
        <v>73</v>
      </c>
      <c r="BG12" t="s">
        <v>73</v>
      </c>
      <c r="BH12" t="s">
        <v>73</v>
      </c>
      <c r="BI12" t="s">
        <v>73</v>
      </c>
      <c r="BJ12" t="s">
        <v>73</v>
      </c>
      <c r="BL12" t="s">
        <v>73</v>
      </c>
      <c r="BM12" t="s">
        <v>73</v>
      </c>
      <c r="BN12" t="s">
        <v>73</v>
      </c>
      <c r="BO12" t="s">
        <v>73</v>
      </c>
      <c r="BP12" t="s">
        <v>73</v>
      </c>
      <c r="BQ12" s="1" t="s">
        <v>73</v>
      </c>
      <c r="BR12" s="1"/>
      <c r="BS12" s="1" t="s">
        <v>75</v>
      </c>
      <c r="BT12" s="1" t="s">
        <v>394</v>
      </c>
      <c r="BU12" s="1" t="s">
        <v>395</v>
      </c>
      <c r="BV12" s="1" t="s">
        <v>396</v>
      </c>
      <c r="BW12" s="1">
        <v>14</v>
      </c>
      <c r="BX12"/>
      <c r="BY12"/>
      <c r="BZ12"/>
      <c r="CA12"/>
      <c r="CB12"/>
      <c r="CC12"/>
      <c r="CD12"/>
    </row>
    <row r="13" spans="1:85" ht="16" x14ac:dyDescent="0.2">
      <c r="A13" t="s">
        <v>136</v>
      </c>
      <c r="B13" t="s">
        <v>269</v>
      </c>
      <c r="C13" t="s">
        <v>270</v>
      </c>
      <c r="D13" s="1" t="s">
        <v>73</v>
      </c>
      <c r="E13" s="1" t="s">
        <v>72</v>
      </c>
      <c r="F13" s="1" t="s">
        <v>73</v>
      </c>
      <c r="G13" s="1" t="s">
        <v>73</v>
      </c>
      <c r="I13" s="1">
        <v>5</v>
      </c>
      <c r="J13">
        <v>5</v>
      </c>
      <c r="K13"/>
      <c r="L13"/>
      <c r="M13"/>
      <c r="Q13" s="1" t="s">
        <v>73</v>
      </c>
      <c r="R13" s="1" t="s">
        <v>73</v>
      </c>
      <c r="S13" s="1" t="s">
        <v>73</v>
      </c>
      <c r="Z13" s="1" t="s">
        <v>73</v>
      </c>
      <c r="AA13" s="1" t="s">
        <v>73</v>
      </c>
      <c r="AB13"/>
      <c r="AC13" s="1">
        <v>5</v>
      </c>
      <c r="AD13"/>
      <c r="AE13" s="1">
        <v>2</v>
      </c>
      <c r="AG13">
        <v>5</v>
      </c>
      <c r="AH13"/>
      <c r="AI13">
        <v>2</v>
      </c>
      <c r="AJ13"/>
      <c r="AK13" s="1" t="s">
        <v>73</v>
      </c>
      <c r="AL13" s="1" t="s">
        <v>72</v>
      </c>
      <c r="AM13">
        <v>3</v>
      </c>
      <c r="AN13" s="1" t="s">
        <v>72</v>
      </c>
      <c r="AO13">
        <v>3</v>
      </c>
      <c r="AP13" s="1" t="s">
        <v>73</v>
      </c>
      <c r="AQ13"/>
      <c r="AR13" s="1" t="s">
        <v>72</v>
      </c>
      <c r="AS13">
        <v>4</v>
      </c>
      <c r="AT13" t="s">
        <v>73</v>
      </c>
      <c r="AW13" s="1">
        <v>50</v>
      </c>
      <c r="AX13" s="1">
        <v>10</v>
      </c>
      <c r="AY13" t="s">
        <v>73</v>
      </c>
      <c r="AZ13" t="s">
        <v>73</v>
      </c>
      <c r="BA13" s="61" t="s">
        <v>73</v>
      </c>
      <c r="BB13">
        <v>1908</v>
      </c>
      <c r="BC13" s="85">
        <v>45649.608888888892</v>
      </c>
      <c r="BD13" s="85">
        <v>45649.56722222222</v>
      </c>
      <c r="BE13" t="s">
        <v>73</v>
      </c>
      <c r="BF13" t="s">
        <v>73</v>
      </c>
      <c r="BG13" t="s">
        <v>73</v>
      </c>
      <c r="BH13" t="s">
        <v>73</v>
      </c>
      <c r="BI13" t="s">
        <v>73</v>
      </c>
      <c r="BJ13" t="s">
        <v>73</v>
      </c>
      <c r="BL13" t="s">
        <v>73</v>
      </c>
      <c r="BM13" t="s">
        <v>73</v>
      </c>
      <c r="BN13" t="s">
        <v>73</v>
      </c>
      <c r="BO13" t="s">
        <v>73</v>
      </c>
      <c r="BP13" t="s">
        <v>73</v>
      </c>
      <c r="BQ13" s="1" t="s">
        <v>73</v>
      </c>
      <c r="BR13" s="1"/>
      <c r="BS13" s="1" t="s">
        <v>73</v>
      </c>
      <c r="BT13" s="1" t="s">
        <v>369</v>
      </c>
      <c r="BU13" s="1" t="s">
        <v>369</v>
      </c>
      <c r="BV13" s="1" t="s">
        <v>369</v>
      </c>
      <c r="BW13" s="1"/>
      <c r="BX13"/>
      <c r="BY13"/>
      <c r="BZ13"/>
      <c r="CA13"/>
      <c r="CB13"/>
      <c r="CC13"/>
      <c r="CD13"/>
    </row>
    <row r="14" spans="1:85" ht="16" x14ac:dyDescent="0.2">
      <c r="A14" t="s">
        <v>136</v>
      </c>
      <c r="B14" t="s">
        <v>226</v>
      </c>
      <c r="C14" t="s">
        <v>227</v>
      </c>
      <c r="D14" s="1" t="s">
        <v>73</v>
      </c>
      <c r="E14" s="1" t="s">
        <v>72</v>
      </c>
      <c r="F14" s="1" t="s">
        <v>72</v>
      </c>
      <c r="G14" s="1" t="s">
        <v>73</v>
      </c>
      <c r="I14" s="1">
        <v>5</v>
      </c>
      <c r="J14"/>
      <c r="K14"/>
      <c r="L14"/>
      <c r="M14"/>
      <c r="Q14" s="1" t="s">
        <v>73</v>
      </c>
      <c r="R14" s="1" t="s">
        <v>73</v>
      </c>
      <c r="S14" s="1" t="s">
        <v>73</v>
      </c>
      <c r="Z14" s="1" t="s">
        <v>73</v>
      </c>
      <c r="AA14" s="1" t="s">
        <v>73</v>
      </c>
      <c r="AB14"/>
      <c r="AD14"/>
      <c r="AG14"/>
      <c r="AH14"/>
      <c r="AI14"/>
      <c r="AJ14"/>
      <c r="AK14" s="1" t="s">
        <v>72</v>
      </c>
      <c r="AL14" s="1" t="s">
        <v>72</v>
      </c>
      <c r="AM14">
        <v>5</v>
      </c>
      <c r="AN14" s="1" t="s">
        <v>72</v>
      </c>
      <c r="AO14">
        <v>5</v>
      </c>
      <c r="AP14" s="1" t="s">
        <v>73</v>
      </c>
      <c r="AQ14"/>
      <c r="AR14" s="1" t="s">
        <v>72</v>
      </c>
      <c r="AS14">
        <v>5</v>
      </c>
      <c r="AT14" t="s">
        <v>73</v>
      </c>
      <c r="AW14" s="1">
        <v>40</v>
      </c>
      <c r="AX14" s="1">
        <v>1</v>
      </c>
      <c r="AY14" t="s">
        <v>73</v>
      </c>
      <c r="AZ14" t="s">
        <v>73</v>
      </c>
      <c r="BA14" s="61" t="s">
        <v>73</v>
      </c>
      <c r="BB14">
        <v>1865</v>
      </c>
      <c r="BC14" s="85">
        <v>45644.823645833334</v>
      </c>
      <c r="BD14" s="85">
        <v>45644.78197916667</v>
      </c>
      <c r="BE14" t="s">
        <v>73</v>
      </c>
      <c r="BF14" t="s">
        <v>73</v>
      </c>
      <c r="BG14" t="s">
        <v>73</v>
      </c>
      <c r="BH14" t="s">
        <v>73</v>
      </c>
      <c r="BI14" t="s">
        <v>73</v>
      </c>
      <c r="BJ14" t="s">
        <v>73</v>
      </c>
      <c r="BL14" t="s">
        <v>73</v>
      </c>
      <c r="BM14" t="s">
        <v>73</v>
      </c>
      <c r="BN14" t="s">
        <v>73</v>
      </c>
      <c r="BO14" t="s">
        <v>73</v>
      </c>
      <c r="BP14" t="s">
        <v>73</v>
      </c>
      <c r="BQ14" s="1" t="s">
        <v>73</v>
      </c>
      <c r="BR14" s="1"/>
      <c r="BS14" s="1" t="s">
        <v>73</v>
      </c>
      <c r="BT14" s="1" t="s">
        <v>369</v>
      </c>
      <c r="BU14" s="1" t="s">
        <v>369</v>
      </c>
      <c r="BV14" s="1" t="s">
        <v>369</v>
      </c>
      <c r="BW14" s="1"/>
      <c r="BX14"/>
      <c r="BY14"/>
      <c r="BZ14"/>
      <c r="CA14"/>
      <c r="CB14"/>
      <c r="CC14"/>
      <c r="CD14"/>
    </row>
    <row r="15" spans="1:85" ht="16" x14ac:dyDescent="0.2">
      <c r="A15" t="s">
        <v>136</v>
      </c>
      <c r="B15" t="s">
        <v>210</v>
      </c>
      <c r="C15" t="s">
        <v>211</v>
      </c>
      <c r="D15" s="1" t="s">
        <v>73</v>
      </c>
      <c r="E15" s="1" t="s">
        <v>72</v>
      </c>
      <c r="F15" s="1" t="s">
        <v>72</v>
      </c>
      <c r="G15" s="1" t="s">
        <v>73</v>
      </c>
      <c r="I15" s="1">
        <v>5</v>
      </c>
      <c r="J15">
        <v>3</v>
      </c>
      <c r="K15"/>
      <c r="L15"/>
      <c r="M15"/>
      <c r="N15" s="1">
        <v>4</v>
      </c>
      <c r="Q15" s="1" t="s">
        <v>73</v>
      </c>
      <c r="R15" s="1" t="s">
        <v>73</v>
      </c>
      <c r="S15" s="1" t="s">
        <v>73</v>
      </c>
      <c r="T15" s="1">
        <v>3</v>
      </c>
      <c r="U15" s="1">
        <v>1</v>
      </c>
      <c r="W15" s="1">
        <v>3</v>
      </c>
      <c r="X15" s="1">
        <v>1</v>
      </c>
      <c r="Z15" s="1" t="s">
        <v>73</v>
      </c>
      <c r="AA15" s="1" t="s">
        <v>73</v>
      </c>
      <c r="AB15"/>
      <c r="AD15"/>
      <c r="AG15"/>
      <c r="AH15"/>
      <c r="AI15"/>
      <c r="AJ15"/>
      <c r="AK15" s="1" t="s">
        <v>72</v>
      </c>
      <c r="AL15" s="1" t="s">
        <v>73</v>
      </c>
      <c r="AM15"/>
      <c r="AN15" s="1" t="s">
        <v>73</v>
      </c>
      <c r="AO15"/>
      <c r="AP15" s="1" t="s">
        <v>73</v>
      </c>
      <c r="AQ15"/>
      <c r="AR15" s="1" t="s">
        <v>73</v>
      </c>
      <c r="AT15" t="s">
        <v>73</v>
      </c>
      <c r="AW15" s="1">
        <v>32</v>
      </c>
      <c r="AX15" s="1">
        <v>7</v>
      </c>
      <c r="AY15" t="s">
        <v>73</v>
      </c>
      <c r="AZ15" t="s">
        <v>73</v>
      </c>
      <c r="BA15" s="61" t="s">
        <v>73</v>
      </c>
      <c r="BB15">
        <v>1847</v>
      </c>
      <c r="BC15" s="85">
        <v>45642.810335648152</v>
      </c>
      <c r="BD15" s="85">
        <v>45642.76866898148</v>
      </c>
      <c r="BE15" t="s">
        <v>73</v>
      </c>
      <c r="BF15" t="s">
        <v>73</v>
      </c>
      <c r="BG15" t="s">
        <v>73</v>
      </c>
      <c r="BH15" t="s">
        <v>73</v>
      </c>
      <c r="BI15" t="s">
        <v>73</v>
      </c>
      <c r="BJ15" t="s">
        <v>73</v>
      </c>
      <c r="BL15" t="s">
        <v>73</v>
      </c>
      <c r="BM15" t="s">
        <v>73</v>
      </c>
      <c r="BN15" t="s">
        <v>73</v>
      </c>
      <c r="BO15" t="s">
        <v>73</v>
      </c>
      <c r="BP15" t="s">
        <v>73</v>
      </c>
      <c r="BQ15" s="1" t="s">
        <v>73</v>
      </c>
      <c r="BR15" s="1"/>
      <c r="BS15" s="1" t="s">
        <v>73</v>
      </c>
      <c r="BT15" s="1" t="s">
        <v>369</v>
      </c>
      <c r="BU15" s="1" t="s">
        <v>369</v>
      </c>
      <c r="BV15" s="1" t="s">
        <v>369</v>
      </c>
      <c r="BW15" s="1"/>
      <c r="BX15"/>
      <c r="BY15"/>
      <c r="BZ15"/>
      <c r="CA15"/>
      <c r="CB15"/>
      <c r="CC15"/>
      <c r="CD15"/>
    </row>
    <row r="16" spans="1:85" ht="48" x14ac:dyDescent="0.2">
      <c r="A16" t="s">
        <v>136</v>
      </c>
      <c r="B16" t="s">
        <v>179</v>
      </c>
      <c r="C16" t="s">
        <v>170</v>
      </c>
      <c r="D16" s="1" t="s">
        <v>73</v>
      </c>
      <c r="E16" s="1" t="s">
        <v>72</v>
      </c>
      <c r="F16" s="1" t="s">
        <v>72</v>
      </c>
      <c r="G16" s="1" t="s">
        <v>73</v>
      </c>
      <c r="J16"/>
      <c r="K16"/>
      <c r="L16">
        <v>6</v>
      </c>
      <c r="M16"/>
      <c r="Q16" s="1" t="s">
        <v>73</v>
      </c>
      <c r="R16" s="1" t="s">
        <v>73</v>
      </c>
      <c r="S16" s="1" t="s">
        <v>73</v>
      </c>
      <c r="U16" s="1">
        <v>1</v>
      </c>
      <c r="V16" s="1">
        <v>5</v>
      </c>
      <c r="X16" s="1">
        <v>1</v>
      </c>
      <c r="Y16" s="1">
        <v>5</v>
      </c>
      <c r="Z16" s="1" t="s">
        <v>72</v>
      </c>
      <c r="AA16" s="1" t="s">
        <v>73</v>
      </c>
      <c r="AB16"/>
      <c r="AD16"/>
      <c r="AG16"/>
      <c r="AH16"/>
      <c r="AI16"/>
      <c r="AJ16"/>
      <c r="AK16" s="1" t="s">
        <v>73</v>
      </c>
      <c r="AL16" s="1" t="s">
        <v>73</v>
      </c>
      <c r="AM16"/>
      <c r="AN16" s="1" t="s">
        <v>73</v>
      </c>
      <c r="AO16"/>
      <c r="AP16" s="1" t="s">
        <v>73</v>
      </c>
      <c r="AQ16"/>
      <c r="AR16" s="1" t="s">
        <v>73</v>
      </c>
      <c r="AT16" t="s">
        <v>72</v>
      </c>
      <c r="AU16">
        <v>3</v>
      </c>
      <c r="AW16" s="1">
        <v>42</v>
      </c>
      <c r="AX16" s="1">
        <v>42</v>
      </c>
      <c r="AY16" t="s">
        <v>73</v>
      </c>
      <c r="AZ16" t="s">
        <v>73</v>
      </c>
      <c r="BA16" s="61" t="s">
        <v>160</v>
      </c>
      <c r="BB16">
        <v>1829</v>
      </c>
      <c r="BC16" s="85">
        <v>45639.322210648148</v>
      </c>
      <c r="BD16" s="85">
        <v>45639.287627314814</v>
      </c>
      <c r="BE16" t="s">
        <v>166</v>
      </c>
      <c r="BF16" t="s">
        <v>78</v>
      </c>
      <c r="BG16" t="s">
        <v>161</v>
      </c>
      <c r="BH16" t="s">
        <v>162</v>
      </c>
      <c r="BI16" t="s">
        <v>171</v>
      </c>
      <c r="BJ16" t="s">
        <v>171</v>
      </c>
      <c r="BK16">
        <v>23</v>
      </c>
      <c r="BL16" t="s">
        <v>73</v>
      </c>
      <c r="BM16" t="s">
        <v>73</v>
      </c>
      <c r="BN16" t="s">
        <v>73</v>
      </c>
      <c r="BO16" t="s">
        <v>73</v>
      </c>
      <c r="BP16" t="s">
        <v>73</v>
      </c>
      <c r="BQ16" s="1" t="s">
        <v>73</v>
      </c>
      <c r="BR16" s="1"/>
      <c r="BS16" s="1" t="s">
        <v>73</v>
      </c>
      <c r="BT16" s="1" t="s">
        <v>369</v>
      </c>
      <c r="BU16" s="1" t="s">
        <v>369</v>
      </c>
      <c r="BV16" s="1" t="s">
        <v>369</v>
      </c>
      <c r="BW16" s="1"/>
      <c r="BX16"/>
      <c r="BY16"/>
      <c r="BZ16"/>
      <c r="CA16"/>
      <c r="CB16"/>
      <c r="CC16"/>
      <c r="CD16"/>
    </row>
    <row r="17" spans="1:82" ht="16" x14ac:dyDescent="0.2">
      <c r="A17" t="s">
        <v>136</v>
      </c>
      <c r="B17" t="s">
        <v>180</v>
      </c>
      <c r="C17" t="s">
        <v>157</v>
      </c>
      <c r="D17" s="1" t="s">
        <v>72</v>
      </c>
      <c r="E17" s="1" t="s">
        <v>72</v>
      </c>
      <c r="F17" s="1" t="s">
        <v>73</v>
      </c>
      <c r="G17" s="1" t="s">
        <v>73</v>
      </c>
      <c r="J17"/>
      <c r="K17"/>
      <c r="L17"/>
      <c r="M17"/>
      <c r="Q17" s="1" t="s">
        <v>73</v>
      </c>
      <c r="R17" s="1" t="s">
        <v>73</v>
      </c>
      <c r="S17" s="1" t="s">
        <v>73</v>
      </c>
      <c r="T17" s="1">
        <v>4</v>
      </c>
      <c r="U17" s="1">
        <v>3</v>
      </c>
      <c r="W17" s="1">
        <v>4</v>
      </c>
      <c r="X17" s="1">
        <v>3</v>
      </c>
      <c r="Z17" s="1" t="s">
        <v>73</v>
      </c>
      <c r="AA17" s="1" t="s">
        <v>73</v>
      </c>
      <c r="AB17"/>
      <c r="AD17"/>
      <c r="AG17"/>
      <c r="AH17"/>
      <c r="AI17"/>
      <c r="AJ17"/>
      <c r="AK17" s="1" t="s">
        <v>73</v>
      </c>
      <c r="AL17" s="1" t="s">
        <v>73</v>
      </c>
      <c r="AM17"/>
      <c r="AN17" s="1" t="s">
        <v>73</v>
      </c>
      <c r="AO17"/>
      <c r="AP17" s="1" t="s">
        <v>73</v>
      </c>
      <c r="AQ17"/>
      <c r="AR17" s="1" t="s">
        <v>73</v>
      </c>
      <c r="AT17" t="s">
        <v>73</v>
      </c>
      <c r="AW17" s="1">
        <v>0</v>
      </c>
      <c r="AX17" s="1">
        <v>0</v>
      </c>
      <c r="AY17" t="s">
        <v>73</v>
      </c>
      <c r="AZ17" t="s">
        <v>73</v>
      </c>
      <c r="BA17" s="61" t="s">
        <v>158</v>
      </c>
      <c r="BB17">
        <v>1828</v>
      </c>
      <c r="BC17" s="85">
        <v>45638.651747685188</v>
      </c>
      <c r="BD17" s="85">
        <v>45639.807164351849</v>
      </c>
      <c r="BE17" t="s">
        <v>73</v>
      </c>
      <c r="BF17" t="s">
        <v>73</v>
      </c>
      <c r="BG17" t="s">
        <v>73</v>
      </c>
      <c r="BH17" t="s">
        <v>73</v>
      </c>
      <c r="BI17" t="s">
        <v>73</v>
      </c>
      <c r="BJ17" t="s">
        <v>73</v>
      </c>
      <c r="BL17" t="s">
        <v>73</v>
      </c>
      <c r="BM17" t="s">
        <v>73</v>
      </c>
      <c r="BN17" t="s">
        <v>73</v>
      </c>
      <c r="BO17" t="s">
        <v>73</v>
      </c>
      <c r="BP17" t="s">
        <v>73</v>
      </c>
      <c r="BQ17" s="1" t="s">
        <v>73</v>
      </c>
      <c r="BR17" s="1"/>
      <c r="BS17" s="1" t="s">
        <v>73</v>
      </c>
      <c r="BT17" s="1" t="s">
        <v>369</v>
      </c>
      <c r="BU17" s="1" t="s">
        <v>369</v>
      </c>
      <c r="BV17" s="1" t="s">
        <v>369</v>
      </c>
      <c r="BW17" s="1"/>
      <c r="BX17"/>
      <c r="BY17"/>
      <c r="BZ17"/>
      <c r="CA17"/>
      <c r="CB17"/>
      <c r="CC17"/>
      <c r="CD17"/>
    </row>
    <row r="18" spans="1:82" ht="48" x14ac:dyDescent="0.2">
      <c r="A18" t="s">
        <v>136</v>
      </c>
      <c r="B18" t="s">
        <v>181</v>
      </c>
      <c r="C18" t="s">
        <v>159</v>
      </c>
      <c r="D18" s="1" t="s">
        <v>73</v>
      </c>
      <c r="E18" s="1" t="s">
        <v>72</v>
      </c>
      <c r="F18" s="1" t="s">
        <v>73</v>
      </c>
      <c r="G18" s="1" t="s">
        <v>73</v>
      </c>
      <c r="I18" s="1">
        <v>7</v>
      </c>
      <c r="J18"/>
      <c r="K18"/>
      <c r="L18"/>
      <c r="M18"/>
      <c r="Q18" s="1" t="s">
        <v>73</v>
      </c>
      <c r="R18" s="1" t="s">
        <v>73</v>
      </c>
      <c r="S18" s="1" t="s">
        <v>73</v>
      </c>
      <c r="T18" s="1">
        <v>1</v>
      </c>
      <c r="W18" s="1">
        <v>1</v>
      </c>
      <c r="Z18" s="1" t="s">
        <v>72</v>
      </c>
      <c r="AA18" s="1" t="s">
        <v>73</v>
      </c>
      <c r="AB18"/>
      <c r="AD18"/>
      <c r="AG18"/>
      <c r="AH18"/>
      <c r="AI18"/>
      <c r="AJ18"/>
      <c r="AK18" s="1" t="s">
        <v>73</v>
      </c>
      <c r="AL18" s="1" t="s">
        <v>72</v>
      </c>
      <c r="AM18">
        <v>6</v>
      </c>
      <c r="AN18" s="1" t="s">
        <v>72</v>
      </c>
      <c r="AO18">
        <v>6</v>
      </c>
      <c r="AP18" s="1" t="s">
        <v>73</v>
      </c>
      <c r="AQ18"/>
      <c r="AR18" s="1" t="s">
        <v>72</v>
      </c>
      <c r="AS18">
        <v>6</v>
      </c>
      <c r="AT18" t="s">
        <v>73</v>
      </c>
      <c r="AW18" s="1">
        <v>90</v>
      </c>
      <c r="AX18" s="1">
        <v>0</v>
      </c>
      <c r="AY18" t="s">
        <v>73</v>
      </c>
      <c r="AZ18" t="s">
        <v>73</v>
      </c>
      <c r="BA18" s="61" t="s">
        <v>160</v>
      </c>
      <c r="BB18">
        <v>1825</v>
      </c>
      <c r="BC18" s="85">
        <v>45637.585219907407</v>
      </c>
      <c r="BD18" s="85">
        <v>45637.543553240743</v>
      </c>
      <c r="BE18" t="s">
        <v>159</v>
      </c>
      <c r="BF18" t="s">
        <v>78</v>
      </c>
      <c r="BG18" t="s">
        <v>161</v>
      </c>
      <c r="BH18" t="s">
        <v>162</v>
      </c>
      <c r="BI18" t="s">
        <v>163</v>
      </c>
      <c r="BJ18" t="s">
        <v>163</v>
      </c>
      <c r="BK18">
        <v>62</v>
      </c>
      <c r="BL18" t="s">
        <v>73</v>
      </c>
      <c r="BM18" t="s">
        <v>73</v>
      </c>
      <c r="BN18" t="s">
        <v>73</v>
      </c>
      <c r="BO18" t="s">
        <v>73</v>
      </c>
      <c r="BP18" t="s">
        <v>73</v>
      </c>
      <c r="BQ18" s="1" t="s">
        <v>73</v>
      </c>
      <c r="BR18" s="1"/>
      <c r="BS18" s="1" t="s">
        <v>73</v>
      </c>
      <c r="BT18" s="1" t="s">
        <v>369</v>
      </c>
      <c r="BU18" s="1" t="s">
        <v>369</v>
      </c>
      <c r="BV18" s="1" t="s">
        <v>369</v>
      </c>
      <c r="BW18" s="1"/>
      <c r="BX18"/>
      <c r="BY18"/>
      <c r="BZ18"/>
      <c r="CA18"/>
      <c r="CB18"/>
      <c r="CC18"/>
      <c r="CD18"/>
    </row>
    <row r="19" spans="1:82" ht="16" x14ac:dyDescent="0.2">
      <c r="A19" t="s">
        <v>136</v>
      </c>
      <c r="B19" t="s">
        <v>182</v>
      </c>
      <c r="C19" t="s">
        <v>150</v>
      </c>
      <c r="D19" s="1" t="s">
        <v>73</v>
      </c>
      <c r="E19" s="1" t="s">
        <v>72</v>
      </c>
      <c r="F19" s="1" t="s">
        <v>72</v>
      </c>
      <c r="G19" s="1" t="s">
        <v>73</v>
      </c>
      <c r="I19" s="1">
        <v>3</v>
      </c>
      <c r="J19"/>
      <c r="K19"/>
      <c r="L19"/>
      <c r="M19"/>
      <c r="Q19" s="1" t="s">
        <v>73</v>
      </c>
      <c r="R19" s="1" t="s">
        <v>73</v>
      </c>
      <c r="S19" s="1" t="s">
        <v>73</v>
      </c>
      <c r="Z19" s="1" t="s">
        <v>73</v>
      </c>
      <c r="AA19" s="1" t="s">
        <v>73</v>
      </c>
      <c r="AB19"/>
      <c r="AD19"/>
      <c r="AG19"/>
      <c r="AH19"/>
      <c r="AI19"/>
      <c r="AJ19"/>
      <c r="AK19" s="1" t="s">
        <v>73</v>
      </c>
      <c r="AL19" s="1" t="s">
        <v>72</v>
      </c>
      <c r="AM19">
        <v>6</v>
      </c>
      <c r="AN19" s="1" t="s">
        <v>72</v>
      </c>
      <c r="AO19">
        <v>6</v>
      </c>
      <c r="AP19" s="1" t="s">
        <v>73</v>
      </c>
      <c r="AQ19"/>
      <c r="AR19" s="1" t="s">
        <v>72</v>
      </c>
      <c r="AS19">
        <v>3</v>
      </c>
      <c r="AT19" t="s">
        <v>73</v>
      </c>
      <c r="AW19" s="1">
        <v>30</v>
      </c>
      <c r="AX19" s="1">
        <v>2</v>
      </c>
      <c r="AY19" t="s">
        <v>73</v>
      </c>
      <c r="AZ19" t="s">
        <v>73</v>
      </c>
      <c r="BA19" s="61" t="s">
        <v>73</v>
      </c>
      <c r="BB19">
        <v>1818</v>
      </c>
      <c r="BC19" s="85">
        <v>45634.991388888891</v>
      </c>
      <c r="BD19" s="85">
        <v>45634.94972222222</v>
      </c>
      <c r="BE19" t="s">
        <v>73</v>
      </c>
      <c r="BF19" t="s">
        <v>73</v>
      </c>
      <c r="BG19" t="s">
        <v>73</v>
      </c>
      <c r="BH19" t="s">
        <v>73</v>
      </c>
      <c r="BI19" t="s">
        <v>73</v>
      </c>
      <c r="BJ19" t="s">
        <v>73</v>
      </c>
      <c r="BL19" t="s">
        <v>73</v>
      </c>
      <c r="BM19" t="s">
        <v>73</v>
      </c>
      <c r="BN19" t="s">
        <v>73</v>
      </c>
      <c r="BO19" t="s">
        <v>73</v>
      </c>
      <c r="BP19" t="s">
        <v>73</v>
      </c>
      <c r="BQ19" s="1" t="s">
        <v>73</v>
      </c>
      <c r="BR19" s="1"/>
      <c r="BS19" s="1" t="s">
        <v>73</v>
      </c>
      <c r="BT19" s="1" t="s">
        <v>369</v>
      </c>
      <c r="BU19" s="1" t="s">
        <v>369</v>
      </c>
      <c r="BV19" s="1" t="s">
        <v>369</v>
      </c>
      <c r="BW19" s="1"/>
      <c r="BX19"/>
      <c r="BY19"/>
      <c r="BZ19"/>
      <c r="CA19"/>
      <c r="CB19"/>
      <c r="CC19"/>
      <c r="CD19"/>
    </row>
    <row r="20" spans="1:82" ht="17" thickBot="1" x14ac:dyDescent="0.25">
      <c r="A20" t="s">
        <v>136</v>
      </c>
      <c r="B20" t="s">
        <v>183</v>
      </c>
      <c r="C20" t="s">
        <v>137</v>
      </c>
      <c r="D20" s="1" t="s">
        <v>73</v>
      </c>
      <c r="E20" s="1" t="s">
        <v>72</v>
      </c>
      <c r="F20" s="1" t="s">
        <v>72</v>
      </c>
      <c r="G20" s="1" t="s">
        <v>73</v>
      </c>
      <c r="J20"/>
      <c r="K20"/>
      <c r="L20"/>
      <c r="M20"/>
      <c r="Q20" s="1" t="s">
        <v>73</v>
      </c>
      <c r="R20" s="1" t="s">
        <v>73</v>
      </c>
      <c r="S20" s="1" t="s">
        <v>73</v>
      </c>
      <c r="Z20" s="1" t="s">
        <v>73</v>
      </c>
      <c r="AA20" s="1" t="s">
        <v>73</v>
      </c>
      <c r="AB20"/>
      <c r="AD20"/>
      <c r="AG20"/>
      <c r="AH20"/>
      <c r="AI20"/>
      <c r="AJ20"/>
      <c r="AK20" s="1" t="s">
        <v>73</v>
      </c>
      <c r="AL20" s="1" t="s">
        <v>72</v>
      </c>
      <c r="AM20">
        <v>6</v>
      </c>
      <c r="AN20" s="1" t="s">
        <v>72</v>
      </c>
      <c r="AO20">
        <v>4</v>
      </c>
      <c r="AP20" s="1" t="s">
        <v>73</v>
      </c>
      <c r="AQ20"/>
      <c r="AR20" s="1" t="s">
        <v>72</v>
      </c>
      <c r="AS20">
        <v>6</v>
      </c>
      <c r="AT20" t="s">
        <v>73</v>
      </c>
      <c r="AW20" s="1">
        <v>25</v>
      </c>
      <c r="AX20" s="1">
        <v>1</v>
      </c>
      <c r="AY20" t="s">
        <v>73</v>
      </c>
      <c r="AZ20" t="s">
        <v>73</v>
      </c>
      <c r="BA20" s="61" t="s">
        <v>73</v>
      </c>
      <c r="BB20">
        <v>1812</v>
      </c>
      <c r="BC20" s="85">
        <v>45630.948182870372</v>
      </c>
      <c r="BD20" s="85">
        <v>45631.711759259262</v>
      </c>
      <c r="BE20" t="s">
        <v>73</v>
      </c>
      <c r="BF20" t="s">
        <v>73</v>
      </c>
      <c r="BG20" t="s">
        <v>73</v>
      </c>
      <c r="BH20" t="s">
        <v>73</v>
      </c>
      <c r="BI20" t="s">
        <v>73</v>
      </c>
      <c r="BJ20" t="s">
        <v>73</v>
      </c>
      <c r="BL20" t="s">
        <v>73</v>
      </c>
      <c r="BM20" t="s">
        <v>73</v>
      </c>
      <c r="BN20" t="s">
        <v>73</v>
      </c>
      <c r="BO20" t="s">
        <v>73</v>
      </c>
      <c r="BP20" t="s">
        <v>73</v>
      </c>
      <c r="BQ20" s="1" t="s">
        <v>73</v>
      </c>
      <c r="BR20" s="1"/>
      <c r="BS20" s="1" t="s">
        <v>73</v>
      </c>
      <c r="BT20" s="1" t="s">
        <v>369</v>
      </c>
      <c r="BU20" s="1" t="s">
        <v>369</v>
      </c>
      <c r="BV20" s="1" t="s">
        <v>369</v>
      </c>
      <c r="BW20" s="1"/>
      <c r="BX20"/>
      <c r="BY20"/>
      <c r="BZ20"/>
      <c r="CA20"/>
      <c r="CB20"/>
      <c r="CC20"/>
      <c r="CD20"/>
    </row>
    <row r="21" spans="1:82" ht="16" thickTop="1" x14ac:dyDescent="0.2">
      <c r="A21" t="s">
        <v>79</v>
      </c>
      <c r="C21">
        <f>SUBTOTAL(103,KDRvNB[Naam vereniging])</f>
        <v>14</v>
      </c>
      <c r="D21" s="1">
        <f>COUNTIF(KDRvNB[Delegatie],"x")</f>
        <v>2</v>
      </c>
      <c r="E21" s="16">
        <f>COUNTIF(KDRvNB[Muziekkorps bij mars en defilé],"x")</f>
        <v>12</v>
      </c>
      <c r="F21" s="16">
        <f>COUNTIF(KDRvNB[Deeln. jeugdkoningschieten],"x")</f>
        <v>9</v>
      </c>
      <c r="G21" s="16">
        <f>COUNTIF(KDRvNB[Maj. Senioren jureren bij mars],"x")</f>
        <v>1</v>
      </c>
      <c r="H21" s="16">
        <f>COUNTIF(KDRvNB[Maj. Jeugd jureren bij mars],"x")</f>
        <v>0</v>
      </c>
      <c r="I21" s="1">
        <f>SUBTOTAL(103,KDRvNB[Korps senioren])</f>
        <v>7</v>
      </c>
      <c r="J21" s="1">
        <f>SUBTOTAL(103,KDRvNB[Junioren korps 1])</f>
        <v>4</v>
      </c>
      <c r="K21" s="1">
        <f>SUBTOTAL(103,KDRvNB[Junioren korps 2])</f>
        <v>0</v>
      </c>
      <c r="L21" s="1">
        <f>SUBTOTAL(103,KDRvNB[Aspiranten korps 1])</f>
        <v>2</v>
      </c>
      <c r="M21" s="1">
        <f>SUBTOTAL(103,KDRvNB[Aspiranten korps 2])</f>
        <v>0</v>
      </c>
      <c r="N21" s="1">
        <f>SUBTOTAL(103,KDRvNB[Acrobatisch senioren])</f>
        <v>2</v>
      </c>
      <c r="O21" s="1">
        <f>SUBTOTAL(103,KDRvNB[Acrobatisch junioren])</f>
        <v>1</v>
      </c>
      <c r="P21" s="1">
        <f>SUBTOTAL(103,KDRvNB[Acrobatisch aspiranten])</f>
        <v>0</v>
      </c>
      <c r="T21" s="79">
        <f>SUBTOTAL(109,KDRvNB[Senioren indiv.])</f>
        <v>12</v>
      </c>
      <c r="U21" s="79">
        <f>SUBTOTAL(109,KDRvNB[Junioren indiv.])</f>
        <v>7</v>
      </c>
      <c r="V21" s="1">
        <f>SUBTOTAL(109,KDRvNB[Aspiranten indiv.])</f>
        <v>5</v>
      </c>
      <c r="W21" s="1">
        <f>SUBTOTAL(109,KDRvNB[Sen. ind opgegeven namen])</f>
        <v>11</v>
      </c>
      <c r="X21" s="1">
        <f>SUBTOTAL(109,KDRvNB[Jun. ind opgegeven namen])</f>
        <v>7</v>
      </c>
      <c r="Y21" s="1">
        <f>SUBTOTAL(109,KDRvNB[Asp. ind opgegeven namen])</f>
        <v>6</v>
      </c>
      <c r="Z21" s="16">
        <f>COUNTIF(KDRvNB[Hoofdkorps],"x")</f>
        <v>3</v>
      </c>
      <c r="AA21" s="117">
        <f>COUNTIF(KDRvNB[2e korps],"x")</f>
        <v>0</v>
      </c>
      <c r="AB21" s="1">
        <f>SUBTOTAL(109,KDRvNB[Groepen, teams, ensembles en duo''s])</f>
        <v>3</v>
      </c>
      <c r="AC21" s="1">
        <f>SUBTOTAL(109,KDRvNB[Senioren])</f>
        <v>17</v>
      </c>
      <c r="AD21" s="1">
        <f>SUBTOTAL(109,KDRvNB[Jong volwassene])</f>
        <v>1</v>
      </c>
      <c r="AE21" s="1">
        <f>SUBTOTAL(109,KDRvNB[Junioren])</f>
        <v>3</v>
      </c>
      <c r="AF21" s="1">
        <f>SUBTOTAL(109,KDRvNB[Aspiranten])</f>
        <v>0</v>
      </c>
      <c r="AG21" s="1">
        <f>SUBTOTAL(109,KDRvNB[Opgegeven senioren])</f>
        <v>17</v>
      </c>
      <c r="AH21" s="1">
        <f>SUBTOTAL(109,KDRvNB[Opgegeven jong volwassene])</f>
        <v>1</v>
      </c>
      <c r="AI21" s="1">
        <f>SUBTOTAL(109,KDRvNB[Opgegeven junioren])</f>
        <v>3</v>
      </c>
      <c r="AJ21" s="1">
        <f>SUBTOTAL(109,KDRvNB[Opgegeven aspiranten])</f>
        <v>0</v>
      </c>
      <c r="AK21" s="1">
        <f>COUNTIF(KDRvNB[Marketentsters],"x")</f>
        <v>5</v>
      </c>
      <c r="AL21" s="1">
        <f>COUNTIF(KDRvNB[Luchtgeweer],"x")</f>
        <v>9</v>
      </c>
      <c r="AM21" s="1">
        <f>SUBTOTAL(109,KDRvNB[Aantal luchtgeweerschutters])</f>
        <v>48</v>
      </c>
      <c r="AN21" s="1">
        <f>COUNTIF(KDRvNB[Luchtpistool],"x")</f>
        <v>8</v>
      </c>
      <c r="AO21" s="1">
        <f>SUBTOTAL(109,KDRvNB[Aantal luchtpistoolschutters])</f>
        <v>40</v>
      </c>
      <c r="AP21" s="1">
        <f>COUNTIF(KDRvNB[Handboog],"x")</f>
        <v>0</v>
      </c>
      <c r="AQ21" s="1">
        <f>SUBTOTAL(109,KDRvNB[Aantal handboogschutters])</f>
        <v>0</v>
      </c>
      <c r="AR21" s="1">
        <f>COUNTIF(KDRvNB[Kruisboog],"x")</f>
        <v>9</v>
      </c>
      <c r="AS21" s="1">
        <f>SUBTOTAL(109,KDRvNB[Aantal kruisboogschutters])</f>
        <v>46</v>
      </c>
      <c r="AT21" s="1">
        <f>COUNTIF(KDRvNB[Luchtgeweer jeugd niet ouder dan 17 jaar.],"x")</f>
        <v>5</v>
      </c>
      <c r="AU21" s="1">
        <f>SUBTOTAL(109,KDRvNB[Aantal korpsen])</f>
        <v>8</v>
      </c>
      <c r="AV21" s="1">
        <f>SUBTOTAL(109,KDRvNB[Opgegeven jeugdkorpsen LG])</f>
        <v>2</v>
      </c>
      <c r="AW21" s="1">
        <f>SUBTOTAL(109,KDRvNB[Totaal aantal deelnemers])</f>
        <v>559</v>
      </c>
      <c r="AX21" s="1">
        <f>SUBTOTAL(109,KDRvNB[Waarvan aantal jeugd (t/m 15 jaar)])</f>
        <v>103</v>
      </c>
      <c r="AY21" s="84">
        <f>COUNTIF(KDRvNB[Kanon etc.],"x")</f>
        <v>2</v>
      </c>
      <c r="AZ21" s="1">
        <f>COUNTIF(KDRvNB[Paarden en/of koetsen],"x")</f>
        <v>0</v>
      </c>
      <c r="BA21" s="63"/>
      <c r="BB21" s="1"/>
      <c r="BC21" s="1"/>
      <c r="BD21" s="1"/>
      <c r="BE21" s="1"/>
      <c r="BF21" s="1"/>
      <c r="BG21" s="1"/>
      <c r="BH21" s="1"/>
      <c r="BI21" s="1"/>
      <c r="BJ21" s="1"/>
      <c r="BK21" s="1"/>
      <c r="BL21" s="1"/>
      <c r="BM21" s="1"/>
      <c r="BN21" s="1"/>
      <c r="BO21" s="1"/>
      <c r="BP21" s="1"/>
      <c r="BQ21" s="1"/>
      <c r="BR21" s="1"/>
      <c r="BS21" s="1"/>
      <c r="BT21" s="1"/>
      <c r="BU21" s="1"/>
      <c r="BV21" s="1"/>
      <c r="BW21" s="1">
        <f>SUBTOTAL(109,KDRvNB[Aantal opgegeven majorettes])</f>
        <v>14</v>
      </c>
      <c r="BX21"/>
      <c r="BY21"/>
      <c r="BZ21"/>
      <c r="CA21"/>
      <c r="CB21"/>
      <c r="CC21"/>
      <c r="CD21"/>
    </row>
    <row r="22" spans="1:82" x14ac:dyDescent="0.2">
      <c r="BX22"/>
      <c r="BY22"/>
      <c r="BZ22"/>
      <c r="CA22"/>
      <c r="CB22"/>
      <c r="CC22"/>
      <c r="CD22"/>
    </row>
  </sheetData>
  <mergeCells count="15">
    <mergeCell ref="BE4:BK4"/>
    <mergeCell ref="AW3:BD3"/>
    <mergeCell ref="BS3:BW3"/>
    <mergeCell ref="A1:BW1"/>
    <mergeCell ref="A2:BW2"/>
    <mergeCell ref="D3:H3"/>
    <mergeCell ref="BL4:BR4"/>
    <mergeCell ref="I3:Y3"/>
    <mergeCell ref="Z3:AA3"/>
    <mergeCell ref="AL3:AV3"/>
    <mergeCell ref="BE3:BR3"/>
    <mergeCell ref="I4:M4"/>
    <mergeCell ref="N4:P4"/>
    <mergeCell ref="Q4:S4"/>
    <mergeCell ref="T4:Y4"/>
  </mergeCells>
  <phoneticPr fontId="2" type="noConversion"/>
  <conditionalFormatting sqref="W6:W20">
    <cfRule type="expression" dxfId="18" priority="6">
      <formula>$T6-$W6&lt;&gt;0</formula>
    </cfRule>
  </conditionalFormatting>
  <conditionalFormatting sqref="X6:X20">
    <cfRule type="expression" dxfId="17" priority="7">
      <formula>$U6-$X6&lt;&gt;0</formula>
    </cfRule>
  </conditionalFormatting>
  <conditionalFormatting sqref="Y6:Y20">
    <cfRule type="expression" dxfId="16" priority="8">
      <formula>$V6-$Y6&lt;&gt;0</formula>
    </cfRule>
  </conditionalFormatting>
  <conditionalFormatting sqref="AG6:AG20">
    <cfRule type="expression" dxfId="15" priority="5">
      <formula>$AC6-$AG6&lt;&gt;0</formula>
    </cfRule>
  </conditionalFormatting>
  <conditionalFormatting sqref="AH6:AH20">
    <cfRule type="expression" dxfId="14" priority="4">
      <formula>$AD6-$AH6&lt;&gt;0</formula>
    </cfRule>
  </conditionalFormatting>
  <conditionalFormatting sqref="AI6:AI20">
    <cfRule type="expression" dxfId="13" priority="3">
      <formula>$AE6-$AI6&lt;&gt;0</formula>
    </cfRule>
  </conditionalFormatting>
  <conditionalFormatting sqref="AJ6:AJ20">
    <cfRule type="expression" dxfId="12" priority="2">
      <formula>$AF6-$AJ6&lt;&gt;0</formula>
    </cfRule>
  </conditionalFormatting>
  <conditionalFormatting sqref="AV6:AV20">
    <cfRule type="expression" dxfId="11" priority="1">
      <formula>$AU6-$AV6&lt;&gt;0</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911A6-DC29-41D3-89D3-279D4FA48D93}">
  <dimension ref="A1:CJ11"/>
  <sheetViews>
    <sheetView workbookViewId="0">
      <selection activeCell="A6" sqref="A6:BM29"/>
    </sheetView>
  </sheetViews>
  <sheetFormatPr baseColWidth="10" defaultColWidth="9.1640625" defaultRowHeight="15" x14ac:dyDescent="0.2"/>
  <cols>
    <col min="1" max="1" width="10.33203125" bestFit="1" customWidth="1"/>
    <col min="2" max="2" width="8.6640625" bestFit="1" customWidth="1"/>
    <col min="3" max="3" width="16.5" bestFit="1" customWidth="1"/>
    <col min="4" max="9" width="8.5" bestFit="1" customWidth="1"/>
    <col min="10" max="11" width="16.33203125" bestFit="1" customWidth="1"/>
    <col min="12" max="13" width="18" bestFit="1" customWidth="1"/>
    <col min="14" max="14" width="8.5" bestFit="1" customWidth="1"/>
    <col min="15" max="17" width="7.6640625" hidden="1" customWidth="1"/>
    <col min="18" max="23" width="8.5" style="1" bestFit="1" customWidth="1"/>
    <col min="24" max="25" width="8.5" bestFit="1" customWidth="1"/>
    <col min="26" max="27" width="8.5" style="1" bestFit="1" customWidth="1"/>
    <col min="28" max="28" width="32.5" style="1" bestFit="1" customWidth="1"/>
    <col min="29" max="29" width="8.5" style="1" bestFit="1" customWidth="1"/>
    <col min="30" max="30" width="16.33203125" style="1" bestFit="1" customWidth="1"/>
    <col min="31" max="32" width="8.5" style="1" bestFit="1" customWidth="1"/>
    <col min="33" max="33" width="19.6640625" style="1" bestFit="1" customWidth="1"/>
    <col min="34" max="34" width="25.5" style="1" bestFit="1" customWidth="1"/>
    <col min="35" max="35" width="19.5" style="1" bestFit="1" customWidth="1"/>
    <col min="36" max="36" width="21" style="1" bestFit="1" customWidth="1"/>
    <col min="37" max="38" width="8.5" style="1" bestFit="1" customWidth="1"/>
    <col min="39" max="39" width="26.33203125" style="1" bestFit="1" customWidth="1"/>
    <col min="40" max="40" width="8.5" bestFit="1" customWidth="1"/>
    <col min="41" max="41" width="25.83203125" bestFit="1" customWidth="1"/>
    <col min="42" max="42" width="8.5" bestFit="1" customWidth="1"/>
    <col min="43" max="43" width="24.1640625" bestFit="1" customWidth="1"/>
    <col min="44" max="44" width="8.5" style="61" bestFit="1" customWidth="1"/>
    <col min="45" max="45" width="24" bestFit="1" customWidth="1"/>
    <col min="46" max="46" width="36.83203125" bestFit="1" customWidth="1"/>
    <col min="47" max="47" width="15.1640625" bestFit="1" customWidth="1"/>
    <col min="48" max="48" width="25.83203125" bestFit="1" customWidth="1"/>
    <col min="49" max="52" width="8.5" bestFit="1" customWidth="1"/>
    <col min="53" max="53" width="23.6640625" style="1" bestFit="1" customWidth="1"/>
    <col min="54" max="54" width="8.5" bestFit="1" customWidth="1"/>
    <col min="55" max="56" width="15" bestFit="1" customWidth="1"/>
    <col min="57" max="57" width="12.1640625" bestFit="1" customWidth="1"/>
    <col min="58" max="58" width="8.5" bestFit="1" customWidth="1"/>
    <col min="59" max="59" width="19.5" bestFit="1" customWidth="1"/>
    <col min="60" max="60" width="28.83203125" bestFit="1" customWidth="1"/>
    <col min="61" max="75" width="8.5" bestFit="1" customWidth="1"/>
    <col min="76" max="76" width="8" bestFit="1" customWidth="1"/>
    <col min="77" max="77" width="8.5" bestFit="1" customWidth="1"/>
    <col min="78" max="85" width="7.6640625" bestFit="1" customWidth="1"/>
    <col min="86" max="86" width="12.6640625" bestFit="1" customWidth="1"/>
    <col min="87" max="87" width="25" customWidth="1"/>
    <col min="88" max="88" width="15.6640625" bestFit="1" customWidth="1"/>
  </cols>
  <sheetData>
    <row r="1" spans="1:88" ht="27" customHeight="1" x14ac:dyDescent="0.2">
      <c r="A1" s="148" t="s">
        <v>84</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72"/>
      <c r="CI1" s="72"/>
      <c r="CJ1" s="72"/>
    </row>
    <row r="2" spans="1:88" ht="20" thickBot="1" x14ac:dyDescent="0.3">
      <c r="A2" s="149" t="s">
        <v>85</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73"/>
      <c r="CI2" s="73"/>
      <c r="CJ2" s="73"/>
    </row>
    <row r="3" spans="1:88" ht="16" thickBot="1" x14ac:dyDescent="0.25">
      <c r="A3" s="20"/>
      <c r="B3" s="21"/>
      <c r="C3" s="22"/>
      <c r="D3" s="139" t="s">
        <v>1</v>
      </c>
      <c r="E3" s="140"/>
      <c r="F3" s="140"/>
      <c r="G3" s="140"/>
      <c r="H3" s="141"/>
      <c r="I3" s="142" t="s">
        <v>2</v>
      </c>
      <c r="J3" s="143"/>
      <c r="K3" s="143"/>
      <c r="L3" s="143"/>
      <c r="M3" s="143"/>
      <c r="N3" s="143"/>
      <c r="O3" s="143"/>
      <c r="P3" s="143"/>
      <c r="Q3" s="143"/>
      <c r="R3" s="143"/>
      <c r="S3" s="143"/>
      <c r="T3" s="143"/>
      <c r="U3" s="143"/>
      <c r="V3" s="143"/>
      <c r="W3" s="144"/>
      <c r="X3" s="139" t="s">
        <v>3</v>
      </c>
      <c r="Y3" s="141"/>
      <c r="Z3" s="26" t="s">
        <v>4</v>
      </c>
      <c r="AA3" s="156" t="s">
        <v>5</v>
      </c>
      <c r="AB3" s="157"/>
      <c r="AC3" s="157"/>
      <c r="AD3" s="157"/>
      <c r="AE3" s="157"/>
      <c r="AF3" s="158"/>
      <c r="AG3" s="26" t="s">
        <v>6</v>
      </c>
      <c r="AH3" s="139" t="s">
        <v>7</v>
      </c>
      <c r="AI3" s="140"/>
      <c r="AJ3" s="140"/>
      <c r="AK3" s="140"/>
      <c r="AL3" s="140"/>
      <c r="AM3" s="141"/>
      <c r="AN3" s="139" t="s">
        <v>8</v>
      </c>
      <c r="AO3" s="140"/>
      <c r="AP3" s="140"/>
      <c r="AQ3" s="140"/>
      <c r="AR3" s="140"/>
      <c r="AS3" s="140"/>
      <c r="AT3" s="141"/>
      <c r="AU3" s="142" t="s">
        <v>9</v>
      </c>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4"/>
      <c r="CC3" s="156" t="s">
        <v>10</v>
      </c>
      <c r="CD3" s="157"/>
      <c r="CE3" s="157"/>
      <c r="CF3" s="157"/>
      <c r="CG3" s="158"/>
      <c r="CH3" s="74"/>
      <c r="CI3" s="74"/>
      <c r="CJ3" s="74"/>
    </row>
    <row r="4" spans="1:88" ht="16" thickBot="1" x14ac:dyDescent="0.25">
      <c r="A4" s="23"/>
      <c r="B4" s="24"/>
      <c r="C4" s="25"/>
      <c r="D4" s="23"/>
      <c r="E4" s="24"/>
      <c r="F4" s="24"/>
      <c r="G4" s="24"/>
      <c r="H4" s="25"/>
      <c r="I4" s="142" t="s">
        <v>11</v>
      </c>
      <c r="J4" s="143"/>
      <c r="K4" s="144"/>
      <c r="L4" s="142" t="s">
        <v>12</v>
      </c>
      <c r="M4" s="143"/>
      <c r="N4" s="144"/>
      <c r="O4" s="142" t="s">
        <v>13</v>
      </c>
      <c r="P4" s="143"/>
      <c r="Q4" s="144"/>
      <c r="R4" s="142" t="s">
        <v>14</v>
      </c>
      <c r="S4" s="143"/>
      <c r="T4" s="143"/>
      <c r="U4" s="143"/>
      <c r="V4" s="143"/>
      <c r="W4" s="144"/>
      <c r="X4" s="23"/>
      <c r="Y4" s="25"/>
      <c r="Z4" s="27"/>
      <c r="AA4" s="23"/>
      <c r="AB4" s="24"/>
      <c r="AC4" s="24"/>
      <c r="AD4" s="24"/>
      <c r="AE4" s="24"/>
      <c r="AF4" s="25"/>
      <c r="AG4" s="27"/>
      <c r="AH4" s="23"/>
      <c r="AI4" s="24"/>
      <c r="AJ4" s="24"/>
      <c r="AK4" s="24"/>
      <c r="AL4" s="24"/>
      <c r="AM4" s="25"/>
      <c r="AN4" s="23"/>
      <c r="AO4" s="24"/>
      <c r="AP4" s="24"/>
      <c r="AQ4" s="24"/>
      <c r="AR4" s="62"/>
      <c r="AS4" s="24"/>
      <c r="AT4" s="25"/>
      <c r="AU4" s="142" t="s">
        <v>15</v>
      </c>
      <c r="AV4" s="143"/>
      <c r="AW4" s="143"/>
      <c r="AX4" s="143"/>
      <c r="AY4" s="143"/>
      <c r="AZ4" s="143"/>
      <c r="BA4" s="144"/>
      <c r="BB4" s="142" t="s">
        <v>16</v>
      </c>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4"/>
      <c r="CC4" s="17"/>
      <c r="CD4" s="18"/>
      <c r="CE4" s="18"/>
      <c r="CF4" s="18"/>
      <c r="CG4" s="19"/>
      <c r="CH4" s="74"/>
      <c r="CI4" s="74"/>
      <c r="CJ4" s="74"/>
    </row>
    <row r="5" spans="1:88" ht="16" thickBot="1" x14ac:dyDescent="0.25"/>
    <row r="6" spans="1:88" ht="212" x14ac:dyDescent="0.2">
      <c r="A6" s="6" t="s">
        <v>17</v>
      </c>
      <c r="B6" s="51" t="s">
        <v>18</v>
      </c>
      <c r="C6" s="52" t="s">
        <v>19</v>
      </c>
      <c r="D6" s="4" t="s">
        <v>20</v>
      </c>
      <c r="E6" s="4" t="s">
        <v>21</v>
      </c>
      <c r="F6" s="4" t="s">
        <v>22</v>
      </c>
      <c r="G6" s="4" t="s">
        <v>23</v>
      </c>
      <c r="H6" s="4" t="s">
        <v>24</v>
      </c>
      <c r="I6" s="55" t="s">
        <v>25</v>
      </c>
      <c r="J6" t="s">
        <v>126</v>
      </c>
      <c r="K6" t="s">
        <v>127</v>
      </c>
      <c r="L6" t="s">
        <v>128</v>
      </c>
      <c r="M6" t="s">
        <v>129</v>
      </c>
      <c r="N6" s="55" t="s">
        <v>26</v>
      </c>
      <c r="O6" s="53" t="s">
        <v>27</v>
      </c>
      <c r="P6" s="54" t="s">
        <v>28</v>
      </c>
      <c r="Q6" s="55" t="s">
        <v>29</v>
      </c>
      <c r="R6" s="53" t="s">
        <v>30</v>
      </c>
      <c r="S6" s="54" t="s">
        <v>31</v>
      </c>
      <c r="T6" s="55" t="s">
        <v>32</v>
      </c>
      <c r="U6" s="53" t="s">
        <v>33</v>
      </c>
      <c r="V6" s="53" t="s">
        <v>34</v>
      </c>
      <c r="W6" s="56" t="s">
        <v>35</v>
      </c>
      <c r="X6" s="56" t="s">
        <v>36</v>
      </c>
      <c r="Y6" s="57" t="s">
        <v>37</v>
      </c>
      <c r="Z6" s="55" t="s">
        <v>15</v>
      </c>
      <c r="AA6" s="54" t="s">
        <v>16</v>
      </c>
      <c r="AB6" t="s">
        <v>110</v>
      </c>
      <c r="AC6" s="55" t="s">
        <v>38</v>
      </c>
      <c r="AD6" t="s">
        <v>111</v>
      </c>
      <c r="AE6" s="53" t="s">
        <v>39</v>
      </c>
      <c r="AF6" s="53" t="s">
        <v>40</v>
      </c>
      <c r="AG6" t="s">
        <v>112</v>
      </c>
      <c r="AH6" t="s">
        <v>113</v>
      </c>
      <c r="AI6" t="s">
        <v>114</v>
      </c>
      <c r="AJ6" t="s">
        <v>115</v>
      </c>
      <c r="AK6" s="58" t="s">
        <v>41</v>
      </c>
      <c r="AL6" s="55" t="s">
        <v>42</v>
      </c>
      <c r="AM6" t="s">
        <v>122</v>
      </c>
      <c r="AN6" s="53" t="s">
        <v>43</v>
      </c>
      <c r="AO6" t="s">
        <v>123</v>
      </c>
      <c r="AP6" s="53" t="s">
        <v>45</v>
      </c>
      <c r="AQ6" t="s">
        <v>124</v>
      </c>
      <c r="AR6" s="53" t="s">
        <v>44</v>
      </c>
      <c r="AS6" t="s">
        <v>125</v>
      </c>
      <c r="AT6" t="s">
        <v>116</v>
      </c>
      <c r="AU6" t="s">
        <v>117</v>
      </c>
      <c r="AV6" t="s">
        <v>118</v>
      </c>
      <c r="AW6" s="55" t="s">
        <v>46</v>
      </c>
      <c r="AX6" s="53" t="s">
        <v>47</v>
      </c>
      <c r="AY6" s="53" t="s">
        <v>48</v>
      </c>
      <c r="AZ6" s="53" t="s">
        <v>49</v>
      </c>
      <c r="BA6" s="64" t="s">
        <v>50</v>
      </c>
      <c r="BB6" s="53" t="s">
        <v>51</v>
      </c>
      <c r="BC6" s="54" t="s">
        <v>52</v>
      </c>
      <c r="BD6" t="s">
        <v>108</v>
      </c>
      <c r="BE6" s="55" t="s">
        <v>53</v>
      </c>
      <c r="BF6" s="53" t="s">
        <v>54</v>
      </c>
      <c r="BG6" s="53" t="s">
        <v>55</v>
      </c>
      <c r="BH6" s="53" t="s">
        <v>56</v>
      </c>
      <c r="BI6" s="53" t="s">
        <v>57</v>
      </c>
      <c r="BJ6" s="53" t="s">
        <v>58</v>
      </c>
      <c r="BK6" s="54" t="s">
        <v>59</v>
      </c>
      <c r="BL6" s="55" t="s">
        <v>60</v>
      </c>
      <c r="BM6" s="53" t="s">
        <v>61</v>
      </c>
      <c r="BN6" s="53" t="s">
        <v>62</v>
      </c>
      <c r="BO6" s="53" t="s">
        <v>63</v>
      </c>
      <c r="BP6" s="53" t="s">
        <v>64</v>
      </c>
      <c r="BQ6" s="53" t="s">
        <v>65</v>
      </c>
      <c r="BR6" s="54" t="s">
        <v>66</v>
      </c>
      <c r="BS6" s="53" t="s">
        <v>70</v>
      </c>
      <c r="BT6" s="55" t="s">
        <v>67</v>
      </c>
      <c r="BU6" s="53" t="s">
        <v>68</v>
      </c>
      <c r="BV6" s="53" t="s">
        <v>69</v>
      </c>
      <c r="BW6" s="54" t="s">
        <v>71</v>
      </c>
    </row>
    <row r="7" spans="1:88" ht="16" x14ac:dyDescent="0.2">
      <c r="A7" s="15" t="s">
        <v>119</v>
      </c>
      <c r="B7" s="15" t="s">
        <v>184</v>
      </c>
      <c r="C7" s="15" t="s">
        <v>109</v>
      </c>
      <c r="D7" s="15" t="s">
        <v>73</v>
      </c>
      <c r="E7" s="15" t="s">
        <v>72</v>
      </c>
      <c r="F7" s="15" t="s">
        <v>72</v>
      </c>
      <c r="G7" s="15" t="s">
        <v>72</v>
      </c>
      <c r="H7" s="15" t="s">
        <v>74</v>
      </c>
      <c r="I7" s="15">
        <v>6</v>
      </c>
      <c r="J7">
        <v>4</v>
      </c>
      <c r="K7">
        <v>3</v>
      </c>
      <c r="L7">
        <v>4</v>
      </c>
      <c r="N7" s="15"/>
      <c r="O7" s="15"/>
      <c r="P7" s="15"/>
      <c r="Q7" s="15" t="s">
        <v>73</v>
      </c>
      <c r="R7" s="15" t="s">
        <v>73</v>
      </c>
      <c r="S7" s="15" t="s">
        <v>73</v>
      </c>
      <c r="T7" s="16">
        <v>6</v>
      </c>
      <c r="U7" s="16">
        <v>5</v>
      </c>
      <c r="V7" s="16">
        <v>4</v>
      </c>
      <c r="W7" s="16">
        <v>6</v>
      </c>
      <c r="X7" s="16">
        <v>5</v>
      </c>
      <c r="Y7" s="16">
        <v>4</v>
      </c>
      <c r="Z7" s="15" t="s">
        <v>72</v>
      </c>
      <c r="AA7" s="15" t="s">
        <v>73</v>
      </c>
      <c r="AB7">
        <v>1</v>
      </c>
      <c r="AC7" s="16">
        <v>10</v>
      </c>
      <c r="AD7">
        <v>5</v>
      </c>
      <c r="AE7" s="16">
        <v>4</v>
      </c>
      <c r="AF7" s="16">
        <v>3</v>
      </c>
      <c r="AG7">
        <v>10</v>
      </c>
      <c r="AH7">
        <v>5</v>
      </c>
      <c r="AI7">
        <v>4</v>
      </c>
      <c r="AJ7">
        <v>3</v>
      </c>
      <c r="AK7" s="16" t="s">
        <v>72</v>
      </c>
      <c r="AL7" s="16" t="s">
        <v>72</v>
      </c>
      <c r="AM7">
        <v>6</v>
      </c>
      <c r="AN7" s="16" t="s">
        <v>72</v>
      </c>
      <c r="AO7">
        <v>6</v>
      </c>
      <c r="AP7" s="16" t="s">
        <v>72</v>
      </c>
      <c r="AQ7">
        <v>5</v>
      </c>
      <c r="AR7" s="16" t="s">
        <v>72</v>
      </c>
      <c r="AS7">
        <v>6</v>
      </c>
      <c r="AT7" t="s">
        <v>72</v>
      </c>
      <c r="AU7">
        <v>2</v>
      </c>
      <c r="AV7">
        <v>2</v>
      </c>
      <c r="AW7" s="15">
        <v>100</v>
      </c>
      <c r="AX7" s="15">
        <v>25</v>
      </c>
      <c r="AY7" s="15" t="s">
        <v>73</v>
      </c>
      <c r="AZ7" s="15" t="s">
        <v>73</v>
      </c>
      <c r="BA7" s="60" t="s">
        <v>73</v>
      </c>
      <c r="BB7" s="15">
        <v>1804</v>
      </c>
      <c r="BC7" s="59">
        <v>45523.539861111109</v>
      </c>
      <c r="BD7" s="85">
        <v>45527.790335648147</v>
      </c>
      <c r="BE7" s="15" t="s">
        <v>109</v>
      </c>
      <c r="BF7" s="15" t="s">
        <v>78</v>
      </c>
      <c r="BG7" s="15" t="s">
        <v>76</v>
      </c>
      <c r="BH7" s="15" t="s">
        <v>77</v>
      </c>
      <c r="BI7" s="15" t="s">
        <v>120</v>
      </c>
      <c r="BJ7" s="15" t="s">
        <v>121</v>
      </c>
      <c r="BK7" s="16">
        <v>15</v>
      </c>
      <c r="BL7" s="15" t="s">
        <v>73</v>
      </c>
      <c r="BM7" s="15" t="s">
        <v>73</v>
      </c>
      <c r="BN7" s="15" t="s">
        <v>73</v>
      </c>
      <c r="BO7" s="15" t="s">
        <v>73</v>
      </c>
      <c r="BP7" s="15" t="s">
        <v>73</v>
      </c>
      <c r="BQ7" s="15" t="s">
        <v>73</v>
      </c>
      <c r="BR7" s="15"/>
      <c r="BS7" s="15" t="s">
        <v>75</v>
      </c>
      <c r="BT7" s="15" t="s">
        <v>196</v>
      </c>
      <c r="BU7" s="15" t="s">
        <v>197</v>
      </c>
      <c r="BV7" s="15" t="s">
        <v>199</v>
      </c>
      <c r="BW7" s="15">
        <v>9</v>
      </c>
    </row>
    <row r="8" spans="1:88" x14ac:dyDescent="0.2">
      <c r="A8" s="28" t="s">
        <v>79</v>
      </c>
      <c r="B8" s="28"/>
      <c r="C8" s="28">
        <f>SUBTOTAL(103,LJ[Naam vereniging])</f>
        <v>1</v>
      </c>
      <c r="D8" s="29">
        <f>COUNTIF(LJ[Delegatie],"x")</f>
        <v>0</v>
      </c>
      <c r="E8" s="29">
        <f>COUNTIF(LJ[Muziekkorps bij mars en defilé],"x")</f>
        <v>1</v>
      </c>
      <c r="F8" s="29">
        <f>COUNTIF(LJ[Deeln. jeugdkoningschieten],"x")</f>
        <v>1</v>
      </c>
      <c r="G8" s="29">
        <f>COUNTIF(LJ[Maj. Senioren jureren bij mars],"x")</f>
        <v>1</v>
      </c>
      <c r="H8" s="29">
        <f>COUNTIF(LJ[Maj. Jeugd jureren bij mars]," x")</f>
        <v>1</v>
      </c>
      <c r="I8" s="29">
        <f>COUNTIF(LJ[Korps senioren],"x")</f>
        <v>0</v>
      </c>
      <c r="J8" s="29" t="e">
        <f>COUNTIF(#REF!,"x")</f>
        <v>#REF!</v>
      </c>
      <c r="K8" s="29" t="e">
        <f>COUNTIF(#REF!,"x")</f>
        <v>#REF!</v>
      </c>
      <c r="L8" s="29">
        <f>COUNTIF(LJ[Acrobatisch senioren],"x")</f>
        <v>0</v>
      </c>
      <c r="M8" s="29">
        <f>COUNTIF(LJ[Acrobatisch junioren],"x")</f>
        <v>0</v>
      </c>
      <c r="N8" s="29">
        <f>COUNTIF(LJ[Acrobatisch aspiranten],"x")</f>
        <v>0</v>
      </c>
      <c r="O8" s="29">
        <f>COUNTIF(LJ[Show senioren],"x")</f>
        <v>0</v>
      </c>
      <c r="P8" s="29">
        <f>COUNTIF(LJ[Show junioren],"x")</f>
        <v>0</v>
      </c>
      <c r="Q8" s="29">
        <f>COUNTIF(LJ[Show aspiranten],"x")</f>
        <v>0</v>
      </c>
      <c r="R8" s="29">
        <f>SUBTOTAL(109,LJ[Senioren indiv.])</f>
        <v>6</v>
      </c>
      <c r="S8" s="29">
        <f>SUBTOTAL(109,LJ[Junioren indiv.])</f>
        <v>5</v>
      </c>
      <c r="T8" s="29">
        <f>SUBTOTAL(109,LJ[Aspiranten indiv.])</f>
        <v>4</v>
      </c>
      <c r="U8" s="29">
        <f>SUBTOTAL(109,LJ[Sen. ind opgegeven namen])</f>
        <v>6</v>
      </c>
      <c r="V8" s="29">
        <f>SUBTOTAL(109,LJ[Jun. ind opgegeven namen])</f>
        <v>5</v>
      </c>
      <c r="W8" s="29">
        <f>SUBTOTAL(109,LJ[Asp. ind opgegeven namen])</f>
        <v>4</v>
      </c>
      <c r="X8" s="29">
        <f>COUNTIF(LJ[Hoofdkorps],"x")</f>
        <v>1</v>
      </c>
      <c r="Y8" s="29">
        <f>COUNTIF(LJ[2e korps],"x")</f>
        <v>0</v>
      </c>
      <c r="Z8" s="29" t="e">
        <f>SUBTOTAL(109,#REF!)</f>
        <v>#REF!</v>
      </c>
      <c r="AA8" s="29">
        <f>SUBTOTAL(109,LJ[Senioren])</f>
        <v>10</v>
      </c>
      <c r="AB8" s="29">
        <f>SUBTOTAL(109,LJ[Junioren])</f>
        <v>4</v>
      </c>
      <c r="AC8" s="29">
        <f>SUBTOTAL(109,LJ[Aspiranten])</f>
        <v>3</v>
      </c>
      <c r="AD8" s="29" t="e">
        <f>SUBTOTAL(109,#REF!)</f>
        <v>#REF!</v>
      </c>
      <c r="AE8" s="29" t="e">
        <f>SUBTOTAL(109,#REF!)</f>
        <v>#REF!</v>
      </c>
      <c r="AF8" s="29" t="e">
        <f>SUBTOTAL(109,#REF!)</f>
        <v>#REF!</v>
      </c>
      <c r="AG8" s="29">
        <f>COUNTIF(LJ[Marketentsters],"x")</f>
        <v>1</v>
      </c>
      <c r="AH8" s="29">
        <f>COUNTIF(LJ[Luchtgeweer],"x")</f>
        <v>1</v>
      </c>
      <c r="AI8" s="29">
        <f>COUNTIF(LJ[Luchtpistool],"x")</f>
        <v>1</v>
      </c>
      <c r="AJ8" s="29">
        <f>COUNTIF(LJ[Kruisboog],"x")</f>
        <v>1</v>
      </c>
      <c r="AK8" s="29">
        <f>COUNTIF(LJ[Handboog],"x")</f>
        <v>1</v>
      </c>
      <c r="AL8" s="30" t="e">
        <f>COUNTIF(#REF!,"x")</f>
        <v>#REF!</v>
      </c>
      <c r="AM8" s="30" t="e">
        <f>SUBTOTAL(109,#REF!)</f>
        <v>#REF!</v>
      </c>
      <c r="AN8" s="29">
        <f>SUBTOTAL(109,LJ[Totaal aantal deelnemers])</f>
        <v>100</v>
      </c>
      <c r="AO8" s="31">
        <f>SUBTOTAL(109,LJ[Waarvan aantal jeugd (t/m 15 jaar)])</f>
        <v>25</v>
      </c>
      <c r="AP8" s="29"/>
      <c r="AQ8" s="29"/>
      <c r="AR8" s="65"/>
      <c r="AS8" s="29"/>
      <c r="AT8" s="29"/>
      <c r="AU8" s="28"/>
      <c r="AV8" s="28"/>
      <c r="AW8" s="28"/>
      <c r="AX8" s="28"/>
      <c r="AY8" s="28"/>
      <c r="AZ8" s="28"/>
      <c r="BA8" s="29"/>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9"/>
      <c r="CG8" s="29">
        <f>SUBTOTAL(109,LJ[Aantal opgegeven majorettes])</f>
        <v>9</v>
      </c>
      <c r="CH8" s="75"/>
      <c r="CI8" s="75"/>
      <c r="CJ8" s="75"/>
    </row>
    <row r="10" spans="1:88" x14ac:dyDescent="0.2">
      <c r="C10" s="32"/>
      <c r="D10" s="1"/>
    </row>
    <row r="11" spans="1:88" x14ac:dyDescent="0.2">
      <c r="C11" s="32"/>
      <c r="D11" s="70"/>
    </row>
  </sheetData>
  <mergeCells count="16">
    <mergeCell ref="I4:K4"/>
    <mergeCell ref="A1:CG1"/>
    <mergeCell ref="A2:CG2"/>
    <mergeCell ref="AN3:AT3"/>
    <mergeCell ref="D3:H3"/>
    <mergeCell ref="I3:W3"/>
    <mergeCell ref="X3:Y3"/>
    <mergeCell ref="AA3:AF3"/>
    <mergeCell ref="AH3:AM3"/>
    <mergeCell ref="L4:N4"/>
    <mergeCell ref="O4:Q4"/>
    <mergeCell ref="R4:W4"/>
    <mergeCell ref="AU3:CB3"/>
    <mergeCell ref="CC3:CG3"/>
    <mergeCell ref="AU4:BA4"/>
    <mergeCell ref="BB4:CB4"/>
  </mergeCells>
  <phoneticPr fontId="2" type="noConversion"/>
  <conditionalFormatting sqref="W6:W7">
    <cfRule type="expression" dxfId="10" priority="4">
      <formula>$T6-$W6&lt;&gt;0</formula>
    </cfRule>
  </conditionalFormatting>
  <conditionalFormatting sqref="X6:X7">
    <cfRule type="expression" dxfId="9" priority="5">
      <formula>$U6-$X6&lt;&gt;0</formula>
    </cfRule>
  </conditionalFormatting>
  <conditionalFormatting sqref="Y6:Y7">
    <cfRule type="expression" dxfId="8" priority="6">
      <formula>$V6-$Y6&lt;&gt;0</formula>
    </cfRule>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42596-4F98-4B71-A6F6-3C3FF5BF23D8}">
  <dimension ref="A1:EV50"/>
  <sheetViews>
    <sheetView zoomScale="110" zoomScaleNormal="110" workbookViewId="0">
      <pane xSplit="3" ySplit="6" topLeftCell="D43" activePane="bottomRight" state="frozen"/>
      <selection pane="topRight" activeCell="D1" sqref="D1"/>
      <selection pane="bottomLeft" activeCell="A7" sqref="A7"/>
      <selection pane="bottomRight" activeCell="A51" sqref="A51:XFD76"/>
    </sheetView>
  </sheetViews>
  <sheetFormatPr baseColWidth="10" defaultColWidth="9.1640625" defaultRowHeight="15" x14ac:dyDescent="0.2"/>
  <cols>
    <col min="1" max="1" width="10.33203125" bestFit="1" customWidth="1"/>
    <col min="2" max="2" width="8.6640625" bestFit="1" customWidth="1"/>
    <col min="3" max="3" width="51.33203125" bestFit="1" customWidth="1"/>
    <col min="4" max="4" width="3.5" bestFit="1" customWidth="1"/>
    <col min="5" max="16" width="8.5" bestFit="1" customWidth="1"/>
    <col min="17" max="17" width="8.33203125" hidden="1" customWidth="1"/>
    <col min="18" max="19" width="7.6640625" hidden="1" customWidth="1"/>
    <col min="20" max="26" width="8.5" bestFit="1" customWidth="1"/>
    <col min="27" max="27" width="7.6640625" hidden="1" customWidth="1"/>
    <col min="28" max="32" width="8.5" bestFit="1" customWidth="1"/>
    <col min="33" max="36" width="3.5" bestFit="1" customWidth="1"/>
    <col min="37" max="38" width="8.5" bestFit="1" customWidth="1"/>
    <col min="39" max="39" width="8.5" style="1" bestFit="1" customWidth="1"/>
    <col min="40" max="40" width="8.5" bestFit="1" customWidth="1"/>
    <col min="41" max="41" width="8.5" style="1" bestFit="1" customWidth="1"/>
    <col min="42" max="42" width="8.5" bestFit="1" customWidth="1"/>
    <col min="43" max="43" width="8.5" style="1" bestFit="1" customWidth="1"/>
    <col min="44" max="44" width="8.5" bestFit="1" customWidth="1"/>
    <col min="45" max="45" width="8.5" style="1" bestFit="1" customWidth="1"/>
    <col min="46" max="47" width="8.5" bestFit="1" customWidth="1"/>
    <col min="48" max="48" width="3.5" bestFit="1" customWidth="1"/>
    <col min="49" max="49" width="8.5" style="61" bestFit="1" customWidth="1"/>
    <col min="50" max="52" width="8.5" bestFit="1" customWidth="1"/>
    <col min="53" max="53" width="80.6640625" style="70" bestFit="1" customWidth="1"/>
    <col min="54" max="54" width="8.5" bestFit="1" customWidth="1"/>
    <col min="55" max="56" width="15" bestFit="1" customWidth="1"/>
    <col min="57" max="57" width="40.6640625" bestFit="1" customWidth="1"/>
    <col min="58" max="58" width="24.33203125" bestFit="1" customWidth="1"/>
    <col min="59" max="60" width="31" bestFit="1" customWidth="1"/>
    <col min="61" max="61" width="13.1640625" bestFit="1" customWidth="1"/>
    <col min="62" max="62" width="17.83203125" bestFit="1" customWidth="1"/>
    <col min="63" max="63" width="8.5" bestFit="1" customWidth="1"/>
    <col min="64" max="70" width="7.6640625" hidden="1" customWidth="1"/>
    <col min="71" max="71" width="8.5" bestFit="1" customWidth="1"/>
    <col min="72" max="72" width="45.5" bestFit="1" customWidth="1"/>
    <col min="73" max="73" width="55.5" bestFit="1" customWidth="1"/>
    <col min="74" max="74" width="45.1640625" bestFit="1" customWidth="1"/>
    <col min="75" max="75" width="8.5" bestFit="1" customWidth="1"/>
    <col min="76" max="76" width="39.33203125" bestFit="1" customWidth="1"/>
    <col min="77" max="77" width="42" bestFit="1" customWidth="1"/>
    <col min="78" max="78" width="35.6640625" bestFit="1" customWidth="1"/>
    <col min="79" max="80" width="7.6640625" bestFit="1" customWidth="1"/>
    <col min="81" max="81" width="10.1640625" bestFit="1" customWidth="1"/>
    <col min="86" max="118" width="9.1640625" style="1"/>
    <col min="119" max="120" width="9.1640625" style="5"/>
    <col min="121" max="124" width="9.1640625" style="1"/>
    <col min="125" max="125" width="9.1640625" style="61"/>
    <col min="126" max="127" width="9.1640625" style="1"/>
    <col min="145" max="152" width="9.1640625" style="1"/>
  </cols>
  <sheetData>
    <row r="1" spans="1:152" ht="19" x14ac:dyDescent="0.2">
      <c r="A1" s="148" t="s">
        <v>86</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row>
    <row r="2" spans="1:152" ht="20" thickBot="1" x14ac:dyDescent="0.3">
      <c r="A2" s="149" t="s">
        <v>143</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row>
    <row r="3" spans="1:152" ht="16" thickBot="1" x14ac:dyDescent="0.25">
      <c r="A3" s="20"/>
      <c r="B3" s="21"/>
      <c r="C3" s="22"/>
      <c r="D3" s="139" t="s">
        <v>1</v>
      </c>
      <c r="E3" s="140"/>
      <c r="F3" s="140"/>
      <c r="G3" s="140"/>
      <c r="H3" s="141"/>
      <c r="I3" s="142" t="s">
        <v>2</v>
      </c>
      <c r="J3" s="143"/>
      <c r="K3" s="143"/>
      <c r="L3" s="143"/>
      <c r="M3" s="143"/>
      <c r="N3" s="143"/>
      <c r="O3" s="143"/>
      <c r="P3" s="143"/>
      <c r="Q3" s="143"/>
      <c r="R3" s="143"/>
      <c r="S3" s="143"/>
      <c r="T3" s="143"/>
      <c r="U3" s="143"/>
      <c r="V3" s="143"/>
      <c r="W3" s="143"/>
      <c r="X3" s="143"/>
      <c r="Y3" s="144"/>
      <c r="Z3" s="139" t="s">
        <v>3</v>
      </c>
      <c r="AA3" s="141"/>
      <c r="AB3" s="26" t="s">
        <v>4</v>
      </c>
      <c r="AC3" s="93" t="s">
        <v>5</v>
      </c>
      <c r="AD3" s="94"/>
      <c r="AE3" s="94"/>
      <c r="AF3" s="94"/>
      <c r="AG3" s="94"/>
      <c r="AH3" s="94"/>
      <c r="AI3" s="94"/>
      <c r="AJ3" s="95"/>
      <c r="AK3" s="26" t="s">
        <v>6</v>
      </c>
      <c r="AL3" s="139" t="s">
        <v>7</v>
      </c>
      <c r="AM3" s="140"/>
      <c r="AN3" s="140"/>
      <c r="AO3" s="140"/>
      <c r="AP3" s="140"/>
      <c r="AQ3" s="140"/>
      <c r="AR3" s="140"/>
      <c r="AS3" s="140"/>
      <c r="AT3" s="140"/>
      <c r="AU3" s="140"/>
      <c r="AV3" s="141"/>
      <c r="AW3" s="139" t="s">
        <v>8</v>
      </c>
      <c r="AX3" s="140"/>
      <c r="AY3" s="140"/>
      <c r="AZ3" s="140"/>
      <c r="BA3" s="140"/>
      <c r="BB3" s="140"/>
      <c r="BC3" s="140"/>
      <c r="BD3" s="141"/>
      <c r="BE3" s="142" t="s">
        <v>9</v>
      </c>
      <c r="BF3" s="143"/>
      <c r="BG3" s="143"/>
      <c r="BH3" s="143"/>
      <c r="BI3" s="143"/>
      <c r="BJ3" s="143"/>
      <c r="BK3" s="143"/>
      <c r="BL3" s="143"/>
      <c r="BM3" s="143"/>
      <c r="BN3" s="143"/>
      <c r="BO3" s="143"/>
      <c r="BP3" s="143"/>
      <c r="BQ3" s="143"/>
      <c r="BR3" s="143"/>
      <c r="BS3" s="145" t="s">
        <v>10</v>
      </c>
      <c r="BT3" s="146"/>
      <c r="BU3" s="146"/>
      <c r="BV3" s="146"/>
      <c r="BW3" s="147"/>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EO3"/>
      <c r="EP3"/>
      <c r="EQ3"/>
      <c r="ER3"/>
      <c r="ES3"/>
      <c r="ET3"/>
      <c r="EU3"/>
      <c r="EV3"/>
    </row>
    <row r="4" spans="1:152" ht="16" thickBot="1" x14ac:dyDescent="0.25">
      <c r="A4" s="23"/>
      <c r="B4" s="24"/>
      <c r="C4" s="25"/>
      <c r="D4" s="23"/>
      <c r="E4" s="24"/>
      <c r="F4" s="24"/>
      <c r="G4" s="24"/>
      <c r="H4" s="25"/>
      <c r="I4" s="142" t="s">
        <v>11</v>
      </c>
      <c r="J4" s="143"/>
      <c r="K4" s="143"/>
      <c r="L4" s="143"/>
      <c r="M4" s="144"/>
      <c r="N4" s="142" t="s">
        <v>88</v>
      </c>
      <c r="O4" s="143"/>
      <c r="P4" s="144"/>
      <c r="Q4" s="142" t="s">
        <v>13</v>
      </c>
      <c r="R4" s="143"/>
      <c r="S4" s="144"/>
      <c r="T4" s="142" t="s">
        <v>14</v>
      </c>
      <c r="U4" s="143"/>
      <c r="V4" s="143"/>
      <c r="W4" s="143"/>
      <c r="X4" s="143"/>
      <c r="Y4" s="144"/>
      <c r="Z4" s="23"/>
      <c r="AA4" s="25"/>
      <c r="AB4" s="27"/>
      <c r="AC4" s="23"/>
      <c r="AD4" s="24"/>
      <c r="AE4" s="24"/>
      <c r="AF4" s="24"/>
      <c r="AG4" s="24"/>
      <c r="AH4" s="24"/>
      <c r="AI4" s="24"/>
      <c r="AJ4" s="25"/>
      <c r="AK4" s="27"/>
      <c r="AL4" s="23"/>
      <c r="AM4" s="24"/>
      <c r="AN4" s="24"/>
      <c r="AO4" s="24"/>
      <c r="AP4" s="24"/>
      <c r="AQ4" s="24"/>
      <c r="AR4" s="24"/>
      <c r="AS4" s="24"/>
      <c r="AT4" s="24"/>
      <c r="AU4" s="24"/>
      <c r="AV4" s="25"/>
      <c r="AW4" s="23"/>
      <c r="AX4" s="24"/>
      <c r="AY4" s="24"/>
      <c r="AZ4" s="24"/>
      <c r="BA4" s="106"/>
      <c r="BB4" s="24"/>
      <c r="BC4" s="24"/>
      <c r="BD4" s="25"/>
      <c r="BE4" s="142" t="s">
        <v>15</v>
      </c>
      <c r="BF4" s="143"/>
      <c r="BG4" s="143"/>
      <c r="BH4" s="143"/>
      <c r="BI4" s="143"/>
      <c r="BJ4" s="143"/>
      <c r="BK4" s="144"/>
      <c r="BL4" s="142" t="s">
        <v>16</v>
      </c>
      <c r="BM4" s="143"/>
      <c r="BN4" s="143"/>
      <c r="BO4" s="143"/>
      <c r="BP4" s="143"/>
      <c r="BQ4" s="143"/>
      <c r="BR4" s="144"/>
      <c r="BS4" s="119"/>
      <c r="BT4" s="97"/>
      <c r="BU4" s="97"/>
      <c r="BV4" s="97"/>
      <c r="BW4" s="98"/>
      <c r="BX4" s="34"/>
      <c r="BY4" s="3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EO4"/>
      <c r="EP4"/>
      <c r="EQ4"/>
      <c r="ER4"/>
      <c r="ES4"/>
      <c r="ET4"/>
      <c r="EU4"/>
      <c r="EV4"/>
    </row>
    <row r="5" spans="1:152" ht="6.75" hidden="1" customHeight="1" x14ac:dyDescent="0.2">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N5" s="1"/>
      <c r="AP5" s="1"/>
      <c r="AR5" s="63"/>
      <c r="AT5" s="1"/>
      <c r="AU5" s="1"/>
      <c r="AV5" s="1"/>
      <c r="AW5" s="63"/>
      <c r="AX5" s="1"/>
      <c r="AY5" s="1"/>
      <c r="AZ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EO5"/>
      <c r="EP5"/>
      <c r="EQ5"/>
      <c r="ER5"/>
      <c r="ES5"/>
      <c r="ET5"/>
      <c r="EU5"/>
      <c r="EV5"/>
    </row>
    <row r="6" spans="1:152" s="2" customFormat="1" ht="213" thickBot="1" x14ac:dyDescent="0.25">
      <c r="A6" s="6" t="s">
        <v>17</v>
      </c>
      <c r="B6" s="7" t="s">
        <v>18</v>
      </c>
      <c r="C6" s="8" t="s">
        <v>19</v>
      </c>
      <c r="D6" s="3" t="s">
        <v>20</v>
      </c>
      <c r="E6" s="4" t="s">
        <v>21</v>
      </c>
      <c r="F6" s="4" t="s">
        <v>22</v>
      </c>
      <c r="G6" s="4" t="s">
        <v>23</v>
      </c>
      <c r="H6" s="4" t="s">
        <v>24</v>
      </c>
      <c r="I6" s="9" t="s">
        <v>25</v>
      </c>
      <c r="J6" s="10" t="s">
        <v>126</v>
      </c>
      <c r="K6" s="10" t="s">
        <v>127</v>
      </c>
      <c r="L6" s="10" t="s">
        <v>128</v>
      </c>
      <c r="M6" s="11" t="s">
        <v>129</v>
      </c>
      <c r="N6" s="10" t="s">
        <v>26</v>
      </c>
      <c r="O6" s="10" t="s">
        <v>27</v>
      </c>
      <c r="P6" s="11" t="s">
        <v>28</v>
      </c>
      <c r="Q6" s="9" t="s">
        <v>29</v>
      </c>
      <c r="R6" s="10" t="s">
        <v>30</v>
      </c>
      <c r="S6" s="11" t="s">
        <v>31</v>
      </c>
      <c r="T6" s="9" t="s">
        <v>32</v>
      </c>
      <c r="U6" s="10" t="s">
        <v>33</v>
      </c>
      <c r="V6" s="10" t="s">
        <v>34</v>
      </c>
      <c r="W6" s="12" t="s">
        <v>35</v>
      </c>
      <c r="X6" s="12" t="s">
        <v>36</v>
      </c>
      <c r="Y6" s="13" t="s">
        <v>37</v>
      </c>
      <c r="Z6" s="9" t="s">
        <v>15</v>
      </c>
      <c r="AA6" s="11" t="s">
        <v>16</v>
      </c>
      <c r="AB6" s="10" t="s">
        <v>110</v>
      </c>
      <c r="AC6" s="9" t="s">
        <v>38</v>
      </c>
      <c r="AD6" s="10" t="s">
        <v>111</v>
      </c>
      <c r="AE6" s="10" t="s">
        <v>39</v>
      </c>
      <c r="AF6" s="10" t="s">
        <v>40</v>
      </c>
      <c r="AG6" s="92" t="s">
        <v>112</v>
      </c>
      <c r="AH6" s="92" t="s">
        <v>113</v>
      </c>
      <c r="AI6" s="92" t="s">
        <v>114</v>
      </c>
      <c r="AJ6" s="99" t="s">
        <v>115</v>
      </c>
      <c r="AK6" s="14" t="s">
        <v>41</v>
      </c>
      <c r="AL6" s="9" t="s">
        <v>42</v>
      </c>
      <c r="AM6" s="120" t="s">
        <v>122</v>
      </c>
      <c r="AN6" s="10" t="s">
        <v>43</v>
      </c>
      <c r="AO6" s="120" t="s">
        <v>123</v>
      </c>
      <c r="AP6" s="10" t="s">
        <v>45</v>
      </c>
      <c r="AQ6" s="120" t="s">
        <v>124</v>
      </c>
      <c r="AR6" s="10" t="s">
        <v>44</v>
      </c>
      <c r="AS6" s="120" t="s">
        <v>125</v>
      </c>
      <c r="AT6" s="10" t="s">
        <v>116</v>
      </c>
      <c r="AU6" s="10" t="s">
        <v>117</v>
      </c>
      <c r="AV6" s="92" t="s">
        <v>118</v>
      </c>
      <c r="AW6" s="9" t="s">
        <v>46</v>
      </c>
      <c r="AX6" s="10" t="s">
        <v>47</v>
      </c>
      <c r="AY6" s="10" t="s">
        <v>48</v>
      </c>
      <c r="AZ6" s="10" t="s">
        <v>49</v>
      </c>
      <c r="BA6" s="105" t="s">
        <v>50</v>
      </c>
      <c r="BB6" s="10" t="s">
        <v>51</v>
      </c>
      <c r="BC6" s="10" t="s">
        <v>52</v>
      </c>
      <c r="BD6" s="10" t="s">
        <v>108</v>
      </c>
      <c r="BE6" s="9" t="s">
        <v>53</v>
      </c>
      <c r="BF6" s="10" t="s">
        <v>54</v>
      </c>
      <c r="BG6" s="10" t="s">
        <v>55</v>
      </c>
      <c r="BH6" s="10" t="s">
        <v>56</v>
      </c>
      <c r="BI6" s="10" t="s">
        <v>57</v>
      </c>
      <c r="BJ6" s="10" t="s">
        <v>58</v>
      </c>
      <c r="BK6" s="11" t="s">
        <v>59</v>
      </c>
      <c r="BL6" s="9" t="s">
        <v>60</v>
      </c>
      <c r="BM6" s="10" t="s">
        <v>61</v>
      </c>
      <c r="BN6" s="10" t="s">
        <v>62</v>
      </c>
      <c r="BO6" s="10" t="s">
        <v>63</v>
      </c>
      <c r="BP6" s="10" t="s">
        <v>64</v>
      </c>
      <c r="BQ6" s="10" t="s">
        <v>65</v>
      </c>
      <c r="BR6" s="10" t="s">
        <v>66</v>
      </c>
      <c r="BS6" s="9" t="s">
        <v>70</v>
      </c>
      <c r="BT6" s="10" t="s">
        <v>67</v>
      </c>
      <c r="BU6" s="10" t="s">
        <v>68</v>
      </c>
      <c r="BV6" s="10" t="s">
        <v>69</v>
      </c>
      <c r="BW6" s="11" t="s">
        <v>71</v>
      </c>
    </row>
    <row r="7" spans="1:152" ht="16" x14ac:dyDescent="0.2">
      <c r="A7" t="s">
        <v>138</v>
      </c>
      <c r="B7" t="s">
        <v>367</v>
      </c>
      <c r="C7" t="s">
        <v>368</v>
      </c>
      <c r="D7" s="1" t="s">
        <v>73</v>
      </c>
      <c r="E7" s="1" t="s">
        <v>72</v>
      </c>
      <c r="F7" s="1" t="s">
        <v>73</v>
      </c>
      <c r="G7" s="1" t="s">
        <v>73</v>
      </c>
      <c r="H7" s="1"/>
      <c r="I7" s="1">
        <v>2</v>
      </c>
      <c r="J7">
        <v>1</v>
      </c>
      <c r="N7" s="1"/>
      <c r="O7" s="1"/>
      <c r="P7" s="1"/>
      <c r="Q7" s="1" t="s">
        <v>73</v>
      </c>
      <c r="R7" s="1" t="s">
        <v>73</v>
      </c>
      <c r="S7" s="1" t="s">
        <v>73</v>
      </c>
      <c r="T7" s="1"/>
      <c r="U7" s="1"/>
      <c r="V7" s="1"/>
      <c r="W7" s="1"/>
      <c r="X7" s="1"/>
      <c r="Y7" s="1"/>
      <c r="Z7" s="1" t="s">
        <v>73</v>
      </c>
      <c r="AA7" s="1" t="s">
        <v>73</v>
      </c>
      <c r="AC7" s="1"/>
      <c r="AE7" s="1"/>
      <c r="AF7" s="1"/>
      <c r="AK7" s="1" t="s">
        <v>73</v>
      </c>
      <c r="AL7" s="1" t="s">
        <v>72</v>
      </c>
      <c r="AM7" s="1">
        <v>6</v>
      </c>
      <c r="AN7" s="1" t="s">
        <v>73</v>
      </c>
      <c r="AP7" s="1" t="s">
        <v>73</v>
      </c>
      <c r="AR7" s="1" t="s">
        <v>72</v>
      </c>
      <c r="AS7" s="1">
        <v>6</v>
      </c>
      <c r="AT7" t="s">
        <v>73</v>
      </c>
      <c r="AW7" s="1">
        <v>50</v>
      </c>
      <c r="AX7" s="1">
        <v>0</v>
      </c>
      <c r="AY7" s="1" t="s">
        <v>73</v>
      </c>
      <c r="AZ7" s="1" t="s">
        <v>72</v>
      </c>
      <c r="BA7" s="126" t="s">
        <v>397</v>
      </c>
      <c r="BB7" s="1">
        <v>1986</v>
      </c>
      <c r="BC7" s="100">
        <v>45657.804085648146</v>
      </c>
      <c r="BD7" s="85">
        <v>45657.762418981481</v>
      </c>
      <c r="BE7" s="1" t="s">
        <v>73</v>
      </c>
      <c r="BF7" s="1" t="s">
        <v>73</v>
      </c>
      <c r="BG7" s="1" t="s">
        <v>73</v>
      </c>
      <c r="BH7" s="1" t="s">
        <v>73</v>
      </c>
      <c r="BI7" s="1" t="s">
        <v>73</v>
      </c>
      <c r="BJ7" s="1" t="s">
        <v>73</v>
      </c>
      <c r="BK7" s="1"/>
      <c r="BL7" s="1" t="s">
        <v>73</v>
      </c>
      <c r="BM7" s="1" t="s">
        <v>73</v>
      </c>
      <c r="BN7" s="1" t="s">
        <v>73</v>
      </c>
      <c r="BO7" s="1" t="s">
        <v>73</v>
      </c>
      <c r="BP7" s="1" t="s">
        <v>73</v>
      </c>
      <c r="BQ7" s="1" t="s">
        <v>73</v>
      </c>
      <c r="BR7" s="1"/>
      <c r="BS7" s="1" t="s">
        <v>73</v>
      </c>
      <c r="BT7" s="1" t="s">
        <v>369</v>
      </c>
      <c r="BU7" s="1" t="s">
        <v>369</v>
      </c>
      <c r="BV7" s="1" t="s">
        <v>369</v>
      </c>
      <c r="BW7" s="1"/>
      <c r="BX7" s="1"/>
      <c r="BY7" s="1"/>
      <c r="BZ7" s="1"/>
      <c r="CA7" s="1"/>
      <c r="CB7" s="1"/>
      <c r="CC7" s="1"/>
      <c r="CD7" s="1"/>
      <c r="CE7" s="1"/>
      <c r="CF7" s="1"/>
      <c r="CG7" s="1"/>
      <c r="CY7" s="5"/>
      <c r="CZ7" s="5"/>
      <c r="DE7" s="61"/>
      <c r="DH7"/>
      <c r="DI7"/>
      <c r="DJ7"/>
      <c r="DK7"/>
      <c r="DL7"/>
      <c r="DM7"/>
      <c r="DN7"/>
      <c r="DO7"/>
      <c r="DP7"/>
      <c r="DQ7"/>
      <c r="DR7"/>
      <c r="DS7"/>
      <c r="DT7"/>
      <c r="DU7"/>
      <c r="DV7"/>
      <c r="DW7"/>
      <c r="DY7" s="1"/>
      <c r="DZ7" s="1"/>
      <c r="EA7" s="1"/>
      <c r="EB7" s="1"/>
      <c r="EC7" s="1"/>
      <c r="ED7" s="1"/>
      <c r="EE7" s="1"/>
      <c r="EF7" s="1"/>
      <c r="EO7"/>
      <c r="EP7"/>
      <c r="EQ7"/>
      <c r="ER7"/>
      <c r="ES7"/>
      <c r="ET7"/>
      <c r="EU7"/>
      <c r="EV7"/>
    </row>
    <row r="8" spans="1:152" ht="16" x14ac:dyDescent="0.2">
      <c r="A8" t="s">
        <v>138</v>
      </c>
      <c r="B8" t="s">
        <v>348</v>
      </c>
      <c r="C8" t="s">
        <v>349</v>
      </c>
      <c r="D8" s="1" t="s">
        <v>73</v>
      </c>
      <c r="E8" s="1" t="s">
        <v>73</v>
      </c>
      <c r="F8" s="1" t="s">
        <v>73</v>
      </c>
      <c r="G8" s="1" t="s">
        <v>72</v>
      </c>
      <c r="H8" s="1" t="s">
        <v>74</v>
      </c>
      <c r="I8" s="1"/>
      <c r="N8" s="1"/>
      <c r="O8" s="1"/>
      <c r="P8" s="1"/>
      <c r="Q8" s="1" t="s">
        <v>73</v>
      </c>
      <c r="R8" s="1" t="s">
        <v>73</v>
      </c>
      <c r="S8" s="1" t="s">
        <v>73</v>
      </c>
      <c r="T8" s="1"/>
      <c r="U8" s="1"/>
      <c r="V8" s="1"/>
      <c r="W8" s="1"/>
      <c r="X8" s="1"/>
      <c r="Y8" s="1"/>
      <c r="Z8" s="1" t="s">
        <v>73</v>
      </c>
      <c r="AA8" s="1" t="s">
        <v>73</v>
      </c>
      <c r="AB8">
        <v>11</v>
      </c>
      <c r="AC8" s="1">
        <v>2</v>
      </c>
      <c r="AD8">
        <v>1</v>
      </c>
      <c r="AE8" s="1"/>
      <c r="AF8" s="1">
        <v>2</v>
      </c>
      <c r="AG8">
        <v>2</v>
      </c>
      <c r="AH8">
        <v>1</v>
      </c>
      <c r="AJ8">
        <v>2</v>
      </c>
      <c r="AK8" s="1" t="s">
        <v>73</v>
      </c>
      <c r="AL8" s="1" t="s">
        <v>72</v>
      </c>
      <c r="AM8" s="1">
        <v>2</v>
      </c>
      <c r="AN8" s="1" t="s">
        <v>73</v>
      </c>
      <c r="AP8" s="1" t="s">
        <v>73</v>
      </c>
      <c r="AR8" s="1" t="s">
        <v>73</v>
      </c>
      <c r="AT8" t="s">
        <v>73</v>
      </c>
      <c r="AW8" s="1">
        <v>40</v>
      </c>
      <c r="AX8" s="1">
        <v>14</v>
      </c>
      <c r="AY8" s="1" t="s">
        <v>72</v>
      </c>
      <c r="AZ8" s="1" t="s">
        <v>73</v>
      </c>
      <c r="BA8" s="126" t="s">
        <v>365</v>
      </c>
      <c r="BB8" s="1">
        <v>1983</v>
      </c>
      <c r="BC8" s="100">
        <v>45656.886712962965</v>
      </c>
      <c r="BD8" s="85">
        <v>45656.845046296294</v>
      </c>
      <c r="BE8" s="1" t="s">
        <v>73</v>
      </c>
      <c r="BF8" s="1" t="s">
        <v>73</v>
      </c>
      <c r="BG8" s="1" t="s">
        <v>73</v>
      </c>
      <c r="BH8" s="1" t="s">
        <v>73</v>
      </c>
      <c r="BI8" s="1" t="s">
        <v>73</v>
      </c>
      <c r="BJ8" s="1" t="s">
        <v>73</v>
      </c>
      <c r="BK8" s="1"/>
      <c r="BL8" s="1" t="s">
        <v>73</v>
      </c>
      <c r="BM8" s="1" t="s">
        <v>73</v>
      </c>
      <c r="BN8" s="1" t="s">
        <v>73</v>
      </c>
      <c r="BO8" s="1" t="s">
        <v>73</v>
      </c>
      <c r="BP8" s="1" t="s">
        <v>73</v>
      </c>
      <c r="BQ8" s="1" t="s">
        <v>73</v>
      </c>
      <c r="BR8" s="1"/>
      <c r="BS8" s="1" t="s">
        <v>75</v>
      </c>
      <c r="BT8" s="1" t="s">
        <v>370</v>
      </c>
      <c r="BU8" s="1" t="s">
        <v>371</v>
      </c>
      <c r="BV8" s="1" t="s">
        <v>372</v>
      </c>
      <c r="BW8" s="1">
        <v>18</v>
      </c>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EO8"/>
      <c r="EP8"/>
      <c r="EQ8"/>
      <c r="ER8"/>
      <c r="ES8"/>
      <c r="ET8"/>
      <c r="EU8"/>
      <c r="EV8"/>
    </row>
    <row r="9" spans="1:152" ht="16" x14ac:dyDescent="0.2">
      <c r="A9" t="s">
        <v>138</v>
      </c>
      <c r="B9" t="s">
        <v>359</v>
      </c>
      <c r="C9" t="s">
        <v>360</v>
      </c>
      <c r="D9" s="1" t="s">
        <v>73</v>
      </c>
      <c r="E9" s="1" t="s">
        <v>72</v>
      </c>
      <c r="F9" s="1" t="s">
        <v>72</v>
      </c>
      <c r="G9" s="1" t="s">
        <v>73</v>
      </c>
      <c r="H9" s="1"/>
      <c r="I9" s="1"/>
      <c r="J9">
        <v>6</v>
      </c>
      <c r="N9" s="1"/>
      <c r="O9" s="1"/>
      <c r="P9" s="1"/>
      <c r="Q9" s="1" t="s">
        <v>73</v>
      </c>
      <c r="R9" s="1" t="s">
        <v>73</v>
      </c>
      <c r="S9" s="1" t="s">
        <v>73</v>
      </c>
      <c r="T9" s="1"/>
      <c r="U9" s="1"/>
      <c r="V9" s="1"/>
      <c r="W9" s="1"/>
      <c r="X9" s="1"/>
      <c r="Y9" s="1"/>
      <c r="Z9" s="1" t="s">
        <v>73</v>
      </c>
      <c r="AA9" s="1" t="s">
        <v>73</v>
      </c>
      <c r="AC9" s="1"/>
      <c r="AE9" s="1"/>
      <c r="AF9" s="1"/>
      <c r="AK9" s="1" t="s">
        <v>72</v>
      </c>
      <c r="AL9" s="1" t="s">
        <v>73</v>
      </c>
      <c r="AN9" s="1" t="s">
        <v>73</v>
      </c>
      <c r="AP9" s="1" t="s">
        <v>73</v>
      </c>
      <c r="AR9" s="1" t="s">
        <v>73</v>
      </c>
      <c r="AT9" t="s">
        <v>73</v>
      </c>
      <c r="AW9" s="1">
        <v>25</v>
      </c>
      <c r="AX9" s="1">
        <v>5</v>
      </c>
      <c r="AY9" s="1" t="s">
        <v>73</v>
      </c>
      <c r="AZ9" s="1" t="s">
        <v>73</v>
      </c>
      <c r="BA9" s="126" t="s">
        <v>366</v>
      </c>
      <c r="BB9" s="1">
        <v>1982</v>
      </c>
      <c r="BC9" s="100">
        <v>45656.853900462964</v>
      </c>
      <c r="BD9" s="85">
        <v>45656.8122337963</v>
      </c>
      <c r="BE9" s="1" t="s">
        <v>73</v>
      </c>
      <c r="BF9" s="1" t="s">
        <v>73</v>
      </c>
      <c r="BG9" s="1" t="s">
        <v>73</v>
      </c>
      <c r="BH9" s="1" t="s">
        <v>73</v>
      </c>
      <c r="BI9" s="1" t="s">
        <v>73</v>
      </c>
      <c r="BJ9" s="1" t="s">
        <v>73</v>
      </c>
      <c r="BK9" s="1"/>
      <c r="BL9" s="1" t="s">
        <v>73</v>
      </c>
      <c r="BM9" s="1" t="s">
        <v>73</v>
      </c>
      <c r="BN9" s="1" t="s">
        <v>73</v>
      </c>
      <c r="BO9" s="1" t="s">
        <v>73</v>
      </c>
      <c r="BP9" s="1" t="s">
        <v>73</v>
      </c>
      <c r="BQ9" s="1" t="s">
        <v>73</v>
      </c>
      <c r="BR9" s="1"/>
      <c r="BS9" s="1" t="s">
        <v>73</v>
      </c>
      <c r="BT9" s="1" t="s">
        <v>369</v>
      </c>
      <c r="BU9" s="1" t="s">
        <v>369</v>
      </c>
      <c r="BV9" s="1" t="s">
        <v>369</v>
      </c>
      <c r="BW9" s="1"/>
      <c r="BX9" s="1"/>
      <c r="BY9" s="1"/>
      <c r="BZ9" s="1"/>
      <c r="CA9" s="1"/>
      <c r="CB9" s="1"/>
      <c r="CC9" s="1"/>
      <c r="CD9" s="1"/>
      <c r="CE9" s="1"/>
      <c r="CF9" s="1"/>
      <c r="CG9" s="1"/>
      <c r="DC9" s="5"/>
      <c r="DD9" s="5"/>
      <c r="DI9" s="61"/>
      <c r="DL9"/>
      <c r="DM9"/>
      <c r="DN9"/>
      <c r="DO9"/>
      <c r="DP9"/>
      <c r="DQ9"/>
      <c r="DR9"/>
      <c r="DS9"/>
      <c r="DT9"/>
      <c r="DU9"/>
      <c r="DV9"/>
      <c r="DW9"/>
      <c r="EC9" s="1"/>
      <c r="ED9" s="1"/>
      <c r="EE9" s="1"/>
      <c r="EF9" s="1"/>
      <c r="EG9" s="1"/>
      <c r="EH9" s="1"/>
      <c r="EI9" s="1"/>
      <c r="EJ9" s="1"/>
      <c r="EO9"/>
      <c r="EP9"/>
      <c r="EQ9"/>
      <c r="ER9"/>
      <c r="ES9"/>
      <c r="ET9"/>
      <c r="EU9"/>
      <c r="EV9"/>
    </row>
    <row r="10" spans="1:152" ht="16" x14ac:dyDescent="0.2">
      <c r="A10" t="s">
        <v>138</v>
      </c>
      <c r="B10" t="s">
        <v>343</v>
      </c>
      <c r="C10" t="s">
        <v>344</v>
      </c>
      <c r="D10" s="1" t="s">
        <v>73</v>
      </c>
      <c r="E10" s="1" t="s">
        <v>72</v>
      </c>
      <c r="F10" s="1" t="s">
        <v>73</v>
      </c>
      <c r="G10" s="1" t="s">
        <v>73</v>
      </c>
      <c r="H10" s="1"/>
      <c r="I10" s="1">
        <v>8</v>
      </c>
      <c r="J10">
        <v>5</v>
      </c>
      <c r="N10" s="1"/>
      <c r="O10" s="1"/>
      <c r="P10" s="1"/>
      <c r="Q10" s="1" t="s">
        <v>73</v>
      </c>
      <c r="R10" s="1" t="s">
        <v>73</v>
      </c>
      <c r="S10" s="1" t="s">
        <v>73</v>
      </c>
      <c r="T10" s="1"/>
      <c r="U10" s="1"/>
      <c r="V10" s="1"/>
      <c r="W10" s="1"/>
      <c r="X10" s="1"/>
      <c r="Y10" s="1"/>
      <c r="Z10" s="1" t="s">
        <v>73</v>
      </c>
      <c r="AA10" s="1" t="s">
        <v>73</v>
      </c>
      <c r="AC10" s="1">
        <v>2</v>
      </c>
      <c r="AE10" s="1"/>
      <c r="AF10" s="1"/>
      <c r="AG10">
        <v>2</v>
      </c>
      <c r="AK10" s="1" t="s">
        <v>73</v>
      </c>
      <c r="AL10" s="1" t="s">
        <v>72</v>
      </c>
      <c r="AM10" s="1">
        <v>6</v>
      </c>
      <c r="AN10" s="1" t="s">
        <v>73</v>
      </c>
      <c r="AP10" s="1" t="s">
        <v>73</v>
      </c>
      <c r="AR10" s="1" t="s">
        <v>73</v>
      </c>
      <c r="AT10" t="s">
        <v>73</v>
      </c>
      <c r="AW10" s="1">
        <v>25</v>
      </c>
      <c r="AX10" s="1">
        <v>8</v>
      </c>
      <c r="AY10" s="1" t="s">
        <v>73</v>
      </c>
      <c r="AZ10" s="1" t="s">
        <v>73</v>
      </c>
      <c r="BA10" s="126" t="s">
        <v>73</v>
      </c>
      <c r="BB10" s="1">
        <v>1978</v>
      </c>
      <c r="BC10" s="100">
        <v>45656.754988425928</v>
      </c>
      <c r="BD10" s="85">
        <v>45656.713321759256</v>
      </c>
      <c r="BE10" s="1" t="s">
        <v>73</v>
      </c>
      <c r="BF10" s="1" t="s">
        <v>73</v>
      </c>
      <c r="BG10" s="1" t="s">
        <v>73</v>
      </c>
      <c r="BH10" s="1" t="s">
        <v>73</v>
      </c>
      <c r="BI10" s="1" t="s">
        <v>73</v>
      </c>
      <c r="BJ10" s="1" t="s">
        <v>73</v>
      </c>
      <c r="BK10" s="1"/>
      <c r="BL10" s="1" t="s">
        <v>73</v>
      </c>
      <c r="BM10" s="1" t="s">
        <v>73</v>
      </c>
      <c r="BN10" s="1" t="s">
        <v>73</v>
      </c>
      <c r="BO10" s="1" t="s">
        <v>73</v>
      </c>
      <c r="BP10" s="1" t="s">
        <v>73</v>
      </c>
      <c r="BQ10" s="1" t="s">
        <v>73</v>
      </c>
      <c r="BR10" s="1"/>
      <c r="BS10" s="1" t="s">
        <v>73</v>
      </c>
      <c r="BT10" s="1" t="s">
        <v>369</v>
      </c>
      <c r="BU10" s="1" t="s">
        <v>369</v>
      </c>
      <c r="BV10" s="1" t="s">
        <v>369</v>
      </c>
      <c r="BW10" s="1"/>
      <c r="BX10" s="1"/>
      <c r="BY10" s="1"/>
      <c r="BZ10" s="1"/>
      <c r="CA10" s="1"/>
      <c r="CB10" s="1"/>
      <c r="CC10" s="1"/>
      <c r="CD10" s="1"/>
      <c r="CE10" s="1"/>
      <c r="CF10" s="1"/>
      <c r="CG10" s="1"/>
      <c r="DC10" s="5"/>
      <c r="DD10" s="5"/>
      <c r="DI10" s="61"/>
      <c r="DL10"/>
      <c r="DM10"/>
      <c r="DN10"/>
      <c r="DO10"/>
      <c r="DP10"/>
      <c r="DQ10"/>
      <c r="DR10"/>
      <c r="DS10"/>
      <c r="DT10"/>
      <c r="DU10"/>
      <c r="DV10"/>
      <c r="DW10"/>
      <c r="EC10" s="1"/>
      <c r="ED10" s="1"/>
      <c r="EE10" s="1"/>
      <c r="EF10" s="1"/>
      <c r="EG10" s="1"/>
      <c r="EH10" s="1"/>
      <c r="EI10" s="1"/>
      <c r="EJ10" s="1"/>
      <c r="EO10"/>
      <c r="EP10"/>
      <c r="EQ10"/>
      <c r="ER10"/>
      <c r="ES10"/>
      <c r="ET10"/>
      <c r="EU10"/>
      <c r="EV10"/>
    </row>
    <row r="11" spans="1:152" ht="16" x14ac:dyDescent="0.2">
      <c r="A11" t="s">
        <v>138</v>
      </c>
      <c r="B11" t="s">
        <v>292</v>
      </c>
      <c r="C11" t="s">
        <v>293</v>
      </c>
      <c r="D11" s="1" t="s">
        <v>73</v>
      </c>
      <c r="E11" s="1" t="s">
        <v>72</v>
      </c>
      <c r="F11" s="1" t="s">
        <v>72</v>
      </c>
      <c r="G11" s="1" t="s">
        <v>73</v>
      </c>
      <c r="H11" s="1"/>
      <c r="I11" s="1">
        <v>14</v>
      </c>
      <c r="L11">
        <v>4</v>
      </c>
      <c r="N11" s="1"/>
      <c r="O11" s="1"/>
      <c r="P11" s="1"/>
      <c r="Q11" s="1" t="s">
        <v>73</v>
      </c>
      <c r="R11" s="1" t="s">
        <v>73</v>
      </c>
      <c r="S11" s="1" t="s">
        <v>73</v>
      </c>
      <c r="T11" s="1"/>
      <c r="U11" s="1"/>
      <c r="V11" s="1"/>
      <c r="W11" s="1"/>
      <c r="X11" s="1"/>
      <c r="Y11" s="1"/>
      <c r="Z11" s="1" t="s">
        <v>72</v>
      </c>
      <c r="AA11" s="1" t="s">
        <v>73</v>
      </c>
      <c r="AC11" s="1">
        <v>5</v>
      </c>
      <c r="AE11" s="1"/>
      <c r="AF11" s="1"/>
      <c r="AG11">
        <v>5</v>
      </c>
      <c r="AK11" s="1" t="s">
        <v>73</v>
      </c>
      <c r="AL11" s="1" t="s">
        <v>72</v>
      </c>
      <c r="AM11" s="1">
        <v>6</v>
      </c>
      <c r="AN11" s="1" t="s">
        <v>72</v>
      </c>
      <c r="AO11" s="1">
        <v>6</v>
      </c>
      <c r="AP11" s="1" t="s">
        <v>73</v>
      </c>
      <c r="AR11" s="1" t="s">
        <v>72</v>
      </c>
      <c r="AS11" s="1">
        <v>6</v>
      </c>
      <c r="AT11" t="s">
        <v>72</v>
      </c>
      <c r="AU11">
        <v>2</v>
      </c>
      <c r="AV11">
        <v>2</v>
      </c>
      <c r="AW11" s="1">
        <v>65</v>
      </c>
      <c r="AX11" s="1">
        <v>15</v>
      </c>
      <c r="AY11" s="1" t="s">
        <v>72</v>
      </c>
      <c r="AZ11" s="1" t="s">
        <v>73</v>
      </c>
      <c r="BA11" s="126" t="s">
        <v>73</v>
      </c>
      <c r="BB11" s="1">
        <v>1971</v>
      </c>
      <c r="BC11" s="100">
        <v>45655.714282407411</v>
      </c>
      <c r="BD11" s="85">
        <v>45655.672615740739</v>
      </c>
      <c r="BE11" s="1" t="s">
        <v>293</v>
      </c>
      <c r="BF11" s="1" t="s">
        <v>78</v>
      </c>
      <c r="BG11" s="1" t="s">
        <v>76</v>
      </c>
      <c r="BH11" s="1" t="s">
        <v>252</v>
      </c>
      <c r="BI11" s="1" t="s">
        <v>337</v>
      </c>
      <c r="BJ11" s="1" t="s">
        <v>337</v>
      </c>
      <c r="BK11" s="1">
        <v>15</v>
      </c>
      <c r="BL11" s="1" t="s">
        <v>73</v>
      </c>
      <c r="BM11" s="1" t="s">
        <v>73</v>
      </c>
      <c r="BN11" s="1" t="s">
        <v>73</v>
      </c>
      <c r="BO11" s="1" t="s">
        <v>73</v>
      </c>
      <c r="BP11" s="1" t="s">
        <v>73</v>
      </c>
      <c r="BQ11" s="1" t="s">
        <v>73</v>
      </c>
      <c r="BR11" s="1"/>
      <c r="BS11" s="1" t="s">
        <v>73</v>
      </c>
      <c r="BT11" s="1" t="s">
        <v>369</v>
      </c>
      <c r="BU11" s="1" t="s">
        <v>369</v>
      </c>
      <c r="BV11" s="1" t="s">
        <v>369</v>
      </c>
      <c r="BW11" s="1"/>
      <c r="BX11" s="1"/>
      <c r="BY11" s="1"/>
      <c r="BZ11" s="1"/>
      <c r="CA11" s="1"/>
      <c r="CB11" s="1"/>
      <c r="CC11" s="1"/>
      <c r="CD11" s="1"/>
      <c r="CE11" s="1"/>
      <c r="CF11" s="1"/>
      <c r="CG11" s="1"/>
      <c r="DC11" s="5"/>
      <c r="DD11" s="5"/>
      <c r="DI11" s="61"/>
      <c r="DL11"/>
      <c r="DM11"/>
      <c r="DN11"/>
      <c r="DO11"/>
      <c r="DP11"/>
      <c r="DQ11"/>
      <c r="DR11"/>
      <c r="DS11"/>
      <c r="DT11"/>
      <c r="DU11"/>
      <c r="DV11"/>
      <c r="DW11"/>
      <c r="EC11" s="1"/>
      <c r="ED11" s="1"/>
      <c r="EE11" s="1"/>
      <c r="EF11" s="1"/>
      <c r="EG11" s="1"/>
      <c r="EH11" s="1"/>
      <c r="EI11" s="1"/>
      <c r="EJ11" s="1"/>
      <c r="EO11"/>
      <c r="EP11"/>
      <c r="EQ11"/>
      <c r="ER11"/>
      <c r="ES11"/>
      <c r="ET11"/>
      <c r="EU11"/>
      <c r="EV11"/>
    </row>
    <row r="12" spans="1:152" ht="32" x14ac:dyDescent="0.2">
      <c r="A12" t="s">
        <v>138</v>
      </c>
      <c r="B12" t="s">
        <v>329</v>
      </c>
      <c r="C12" t="s">
        <v>330</v>
      </c>
      <c r="D12" s="1" t="s">
        <v>73</v>
      </c>
      <c r="E12" s="1" t="s">
        <v>72</v>
      </c>
      <c r="F12" s="1" t="s">
        <v>72</v>
      </c>
      <c r="G12" s="1" t="s">
        <v>73</v>
      </c>
      <c r="H12" s="1"/>
      <c r="I12" s="1">
        <v>9</v>
      </c>
      <c r="N12" s="1"/>
      <c r="O12" s="1"/>
      <c r="P12" s="1"/>
      <c r="Q12" s="1" t="s">
        <v>73</v>
      </c>
      <c r="R12" s="1" t="s">
        <v>73</v>
      </c>
      <c r="S12" s="1" t="s">
        <v>73</v>
      </c>
      <c r="T12" s="1"/>
      <c r="U12" s="1"/>
      <c r="V12" s="1"/>
      <c r="W12" s="1"/>
      <c r="X12" s="1"/>
      <c r="Y12" s="1"/>
      <c r="Z12" s="1" t="s">
        <v>73</v>
      </c>
      <c r="AA12" s="1" t="s">
        <v>73</v>
      </c>
      <c r="AC12" s="1">
        <v>2</v>
      </c>
      <c r="AD12">
        <v>2</v>
      </c>
      <c r="AE12" s="1"/>
      <c r="AF12" s="1">
        <v>1</v>
      </c>
      <c r="AG12">
        <v>3</v>
      </c>
      <c r="AH12">
        <v>1</v>
      </c>
      <c r="AJ12">
        <v>1</v>
      </c>
      <c r="AK12" s="1" t="s">
        <v>73</v>
      </c>
      <c r="AL12" s="1" t="s">
        <v>73</v>
      </c>
      <c r="AN12" s="1" t="s">
        <v>73</v>
      </c>
      <c r="AP12" s="1" t="s">
        <v>73</v>
      </c>
      <c r="AR12" s="1" t="s">
        <v>73</v>
      </c>
      <c r="AT12" t="s">
        <v>73</v>
      </c>
      <c r="AW12" s="1">
        <v>80</v>
      </c>
      <c r="AX12" s="1">
        <v>20</v>
      </c>
      <c r="AY12" s="1" t="s">
        <v>72</v>
      </c>
      <c r="AZ12" s="1" t="s">
        <v>73</v>
      </c>
      <c r="BA12" s="126" t="s">
        <v>338</v>
      </c>
      <c r="BB12" s="1">
        <v>1969</v>
      </c>
      <c r="BC12" s="100">
        <v>45655.680289351854</v>
      </c>
      <c r="BD12" s="85">
        <v>45655.654629629629</v>
      </c>
      <c r="BE12" s="1" t="s">
        <v>73</v>
      </c>
      <c r="BF12" s="1" t="s">
        <v>73</v>
      </c>
      <c r="BG12" s="1" t="s">
        <v>73</v>
      </c>
      <c r="BH12" s="1" t="s">
        <v>73</v>
      </c>
      <c r="BI12" s="1" t="s">
        <v>73</v>
      </c>
      <c r="BJ12" s="1" t="s">
        <v>73</v>
      </c>
      <c r="BK12" s="1"/>
      <c r="BL12" s="1" t="s">
        <v>73</v>
      </c>
      <c r="BM12" s="1" t="s">
        <v>73</v>
      </c>
      <c r="BN12" s="1" t="s">
        <v>73</v>
      </c>
      <c r="BO12" s="1" t="s">
        <v>73</v>
      </c>
      <c r="BP12" s="1" t="s">
        <v>73</v>
      </c>
      <c r="BQ12" s="1" t="s">
        <v>73</v>
      </c>
      <c r="BR12" s="1"/>
      <c r="BS12" s="1" t="s">
        <v>73</v>
      </c>
      <c r="BT12" s="1" t="s">
        <v>369</v>
      </c>
      <c r="BU12" s="1" t="s">
        <v>369</v>
      </c>
      <c r="BV12" s="1" t="s">
        <v>369</v>
      </c>
      <c r="BW12" s="1"/>
      <c r="BX12" s="1"/>
      <c r="BY12" s="1"/>
      <c r="BZ12" s="1"/>
      <c r="CA12" s="1"/>
      <c r="CB12" s="1"/>
      <c r="CC12" s="1"/>
      <c r="CD12" s="1"/>
      <c r="CE12" s="1"/>
      <c r="CF12" s="1"/>
      <c r="CG12" s="1"/>
      <c r="DC12" s="5"/>
      <c r="DD12" s="5"/>
      <c r="DI12" s="61"/>
      <c r="DL12"/>
      <c r="DM12"/>
      <c r="DN12"/>
      <c r="DO12"/>
      <c r="DP12"/>
      <c r="DQ12"/>
      <c r="DR12"/>
      <c r="DS12"/>
      <c r="DT12"/>
      <c r="DU12"/>
      <c r="DV12"/>
      <c r="DW12"/>
      <c r="EC12" s="1"/>
      <c r="ED12" s="1"/>
      <c r="EE12" s="1"/>
      <c r="EF12" s="1"/>
      <c r="EG12" s="1"/>
      <c r="EH12" s="1"/>
      <c r="EI12" s="1"/>
      <c r="EJ12" s="1"/>
      <c r="EO12"/>
      <c r="EP12"/>
      <c r="EQ12"/>
      <c r="ER12"/>
      <c r="ES12"/>
      <c r="ET12"/>
      <c r="EU12"/>
      <c r="EV12"/>
    </row>
    <row r="13" spans="1:152" ht="16" x14ac:dyDescent="0.2">
      <c r="A13" t="s">
        <v>138</v>
      </c>
      <c r="B13" t="s">
        <v>323</v>
      </c>
      <c r="C13" t="s">
        <v>324</v>
      </c>
      <c r="D13" s="1" t="s">
        <v>73</v>
      </c>
      <c r="E13" s="1" t="s">
        <v>72</v>
      </c>
      <c r="F13" s="1" t="s">
        <v>72</v>
      </c>
      <c r="G13" s="1" t="s">
        <v>73</v>
      </c>
      <c r="H13" s="1"/>
      <c r="I13" s="1">
        <v>3</v>
      </c>
      <c r="N13" s="1">
        <v>3</v>
      </c>
      <c r="O13" s="1"/>
      <c r="P13" s="1"/>
      <c r="Q13" s="1" t="s">
        <v>73</v>
      </c>
      <c r="R13" s="1" t="s">
        <v>73</v>
      </c>
      <c r="S13" s="1" t="s">
        <v>73</v>
      </c>
      <c r="T13" s="1">
        <v>1</v>
      </c>
      <c r="U13" s="1"/>
      <c r="V13" s="1"/>
      <c r="W13" s="1">
        <v>1</v>
      </c>
      <c r="X13" s="1"/>
      <c r="Y13" s="1"/>
      <c r="Z13" s="1" t="s">
        <v>73</v>
      </c>
      <c r="AA13" s="1" t="s">
        <v>73</v>
      </c>
      <c r="AC13" s="1">
        <v>2</v>
      </c>
      <c r="AE13" s="1"/>
      <c r="AF13" s="1"/>
      <c r="AG13">
        <v>2</v>
      </c>
      <c r="AK13" s="1" t="s">
        <v>73</v>
      </c>
      <c r="AL13" s="1" t="s">
        <v>72</v>
      </c>
      <c r="AM13" s="1">
        <v>6</v>
      </c>
      <c r="AN13" s="1" t="s">
        <v>72</v>
      </c>
      <c r="AO13" s="1">
        <v>6</v>
      </c>
      <c r="AP13" s="1" t="s">
        <v>73</v>
      </c>
      <c r="AR13" s="1" t="s">
        <v>72</v>
      </c>
      <c r="AS13" s="1">
        <v>6</v>
      </c>
      <c r="AT13" t="s">
        <v>73</v>
      </c>
      <c r="AW13" s="1">
        <v>25</v>
      </c>
      <c r="AX13" s="1">
        <v>0</v>
      </c>
      <c r="AY13" s="1" t="s">
        <v>73</v>
      </c>
      <c r="AZ13" s="1" t="s">
        <v>73</v>
      </c>
      <c r="BA13" s="126" t="s">
        <v>73</v>
      </c>
      <c r="BB13" s="1">
        <v>1962</v>
      </c>
      <c r="BC13" s="100">
        <v>45655.488310185188</v>
      </c>
      <c r="BD13" s="85">
        <v>45655.446643518517</v>
      </c>
      <c r="BE13" s="1" t="s">
        <v>73</v>
      </c>
      <c r="BF13" s="1" t="s">
        <v>73</v>
      </c>
      <c r="BG13" s="1" t="s">
        <v>73</v>
      </c>
      <c r="BH13" s="1" t="s">
        <v>73</v>
      </c>
      <c r="BI13" s="1" t="s">
        <v>73</v>
      </c>
      <c r="BJ13" s="1" t="s">
        <v>73</v>
      </c>
      <c r="BK13" s="1"/>
      <c r="BL13" s="1" t="s">
        <v>73</v>
      </c>
      <c r="BM13" s="1" t="s">
        <v>73</v>
      </c>
      <c r="BN13" s="1" t="s">
        <v>73</v>
      </c>
      <c r="BO13" s="1" t="s">
        <v>73</v>
      </c>
      <c r="BP13" s="1" t="s">
        <v>73</v>
      </c>
      <c r="BQ13" s="1" t="s">
        <v>73</v>
      </c>
      <c r="BR13" s="1"/>
      <c r="BS13" s="1" t="s">
        <v>73</v>
      </c>
      <c r="BT13" s="1" t="s">
        <v>369</v>
      </c>
      <c r="BU13" s="1" t="s">
        <v>369</v>
      </c>
      <c r="BV13" s="1" t="s">
        <v>369</v>
      </c>
      <c r="BW13" s="1"/>
      <c r="BX13" s="1"/>
      <c r="BY13" s="1"/>
      <c r="BZ13" s="1"/>
      <c r="CA13" s="1"/>
      <c r="CB13" s="1"/>
      <c r="CC13" s="1"/>
      <c r="CD13" s="1"/>
      <c r="CE13" s="1"/>
      <c r="CF13" s="1"/>
      <c r="CG13" s="1"/>
      <c r="DC13" s="5"/>
      <c r="DD13" s="5"/>
      <c r="DI13" s="61"/>
      <c r="DL13"/>
      <c r="DM13"/>
      <c r="DN13"/>
      <c r="DO13"/>
      <c r="DP13"/>
      <c r="DQ13"/>
      <c r="DR13"/>
      <c r="DS13"/>
      <c r="DT13"/>
      <c r="DU13"/>
      <c r="DV13"/>
      <c r="DW13"/>
      <c r="EC13" s="1"/>
      <c r="ED13" s="1"/>
      <c r="EE13" s="1"/>
      <c r="EF13" s="1"/>
      <c r="EG13" s="1"/>
      <c r="EH13" s="1"/>
      <c r="EI13" s="1"/>
      <c r="EJ13" s="1"/>
      <c r="EO13"/>
      <c r="EP13"/>
      <c r="EQ13"/>
      <c r="ER13"/>
      <c r="ES13"/>
      <c r="ET13"/>
      <c r="EU13"/>
      <c r="EV13"/>
    </row>
    <row r="14" spans="1:152" ht="16" x14ac:dyDescent="0.2">
      <c r="A14" t="s">
        <v>138</v>
      </c>
      <c r="B14" t="s">
        <v>208</v>
      </c>
      <c r="C14" t="s">
        <v>209</v>
      </c>
      <c r="D14" s="1" t="s">
        <v>72</v>
      </c>
      <c r="E14" s="1" t="s">
        <v>73</v>
      </c>
      <c r="F14" s="1" t="s">
        <v>72</v>
      </c>
      <c r="G14" s="1" t="s">
        <v>73</v>
      </c>
      <c r="H14" s="1"/>
      <c r="I14" s="1"/>
      <c r="N14" s="1"/>
      <c r="O14" s="1"/>
      <c r="P14" s="1"/>
      <c r="Q14" s="1" t="s">
        <v>73</v>
      </c>
      <c r="R14" s="1" t="s">
        <v>73</v>
      </c>
      <c r="S14" s="1" t="s">
        <v>73</v>
      </c>
      <c r="T14" s="1"/>
      <c r="U14" s="1"/>
      <c r="V14" s="1"/>
      <c r="W14" s="1"/>
      <c r="X14" s="1"/>
      <c r="Y14" s="1"/>
      <c r="Z14" s="1" t="s">
        <v>73</v>
      </c>
      <c r="AA14" s="1" t="s">
        <v>73</v>
      </c>
      <c r="AC14" s="1"/>
      <c r="AE14" s="1"/>
      <c r="AF14" s="1"/>
      <c r="AK14" s="1" t="s">
        <v>73</v>
      </c>
      <c r="AL14" s="1" t="s">
        <v>73</v>
      </c>
      <c r="AN14" s="1" t="s">
        <v>73</v>
      </c>
      <c r="AP14" s="1" t="s">
        <v>73</v>
      </c>
      <c r="AR14" s="1" t="s">
        <v>73</v>
      </c>
      <c r="AT14" t="s">
        <v>73</v>
      </c>
      <c r="AW14" s="1">
        <v>12</v>
      </c>
      <c r="AX14" s="1">
        <v>1</v>
      </c>
      <c r="AY14" s="1" t="s">
        <v>73</v>
      </c>
      <c r="AZ14" s="1" t="s">
        <v>73</v>
      </c>
      <c r="BA14" s="126" t="s">
        <v>73</v>
      </c>
      <c r="BB14" s="1">
        <v>1960</v>
      </c>
      <c r="BC14" s="100">
        <v>45654.767222222225</v>
      </c>
      <c r="BD14" s="85">
        <v>45654.725555555553</v>
      </c>
      <c r="BE14" s="1" t="s">
        <v>73</v>
      </c>
      <c r="BF14" s="1" t="s">
        <v>73</v>
      </c>
      <c r="BG14" s="1" t="s">
        <v>73</v>
      </c>
      <c r="BH14" s="1" t="s">
        <v>73</v>
      </c>
      <c r="BI14" s="1" t="s">
        <v>73</v>
      </c>
      <c r="BJ14" s="1" t="s">
        <v>73</v>
      </c>
      <c r="BK14" s="1"/>
      <c r="BL14" s="1" t="s">
        <v>73</v>
      </c>
      <c r="BM14" s="1" t="s">
        <v>73</v>
      </c>
      <c r="BN14" s="1" t="s">
        <v>73</v>
      </c>
      <c r="BO14" s="1" t="s">
        <v>73</v>
      </c>
      <c r="BP14" s="1" t="s">
        <v>73</v>
      </c>
      <c r="BQ14" s="1" t="s">
        <v>73</v>
      </c>
      <c r="BR14" s="1"/>
      <c r="BS14" s="1" t="s">
        <v>73</v>
      </c>
      <c r="BT14" s="1" t="s">
        <v>369</v>
      </c>
      <c r="BU14" s="1" t="s">
        <v>369</v>
      </c>
      <c r="BV14" s="1" t="s">
        <v>369</v>
      </c>
      <c r="BW14" s="1"/>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EO14"/>
      <c r="EP14"/>
      <c r="EQ14"/>
      <c r="ER14"/>
      <c r="ES14"/>
      <c r="ET14"/>
      <c r="EU14"/>
      <c r="EV14"/>
    </row>
    <row r="15" spans="1:152" ht="16" x14ac:dyDescent="0.2">
      <c r="A15" t="s">
        <v>138</v>
      </c>
      <c r="B15" t="s">
        <v>318</v>
      </c>
      <c r="C15" t="s">
        <v>319</v>
      </c>
      <c r="D15" s="1" t="s">
        <v>73</v>
      </c>
      <c r="E15" s="1" t="s">
        <v>72</v>
      </c>
      <c r="F15" s="1" t="s">
        <v>72</v>
      </c>
      <c r="G15" s="1" t="s">
        <v>73</v>
      </c>
      <c r="H15" s="1"/>
      <c r="I15" s="1">
        <v>14</v>
      </c>
      <c r="J15">
        <v>8</v>
      </c>
      <c r="L15">
        <v>4</v>
      </c>
      <c r="N15" s="1">
        <v>13</v>
      </c>
      <c r="O15" s="1">
        <v>6</v>
      </c>
      <c r="P15" s="1"/>
      <c r="Q15" s="1" t="s">
        <v>73</v>
      </c>
      <c r="R15" s="1" t="s">
        <v>73</v>
      </c>
      <c r="S15" s="1" t="s">
        <v>73</v>
      </c>
      <c r="T15" s="1">
        <v>1</v>
      </c>
      <c r="U15" s="1">
        <v>2</v>
      </c>
      <c r="V15" s="1">
        <v>1</v>
      </c>
      <c r="W15" s="1">
        <v>1</v>
      </c>
      <c r="X15" s="1">
        <v>2</v>
      </c>
      <c r="Y15" s="1">
        <v>1</v>
      </c>
      <c r="Z15" s="1" t="s">
        <v>73</v>
      </c>
      <c r="AA15" s="1" t="s">
        <v>73</v>
      </c>
      <c r="AC15" s="1">
        <v>3</v>
      </c>
      <c r="AE15" s="1"/>
      <c r="AF15" s="1"/>
      <c r="AG15">
        <v>3</v>
      </c>
      <c r="AK15" s="1" t="s">
        <v>72</v>
      </c>
      <c r="AL15" s="1" t="s">
        <v>72</v>
      </c>
      <c r="AM15" s="1">
        <v>6</v>
      </c>
      <c r="AN15" s="1" t="s">
        <v>72</v>
      </c>
      <c r="AO15" s="1">
        <v>6</v>
      </c>
      <c r="AP15" s="1" t="s">
        <v>73</v>
      </c>
      <c r="AR15" s="1" t="s">
        <v>73</v>
      </c>
      <c r="AT15" t="s">
        <v>72</v>
      </c>
      <c r="AU15">
        <v>2</v>
      </c>
      <c r="AV15">
        <v>3</v>
      </c>
      <c r="AW15" s="1">
        <v>125</v>
      </c>
      <c r="AX15" s="1">
        <v>22</v>
      </c>
      <c r="AY15" s="1" t="s">
        <v>72</v>
      </c>
      <c r="AZ15" s="1" t="s">
        <v>72</v>
      </c>
      <c r="BA15" s="126" t="s">
        <v>73</v>
      </c>
      <c r="BB15" s="1">
        <v>1956</v>
      </c>
      <c r="BC15" s="100">
        <v>45653.888425925928</v>
      </c>
      <c r="BD15" s="85">
        <v>45653.846759259257</v>
      </c>
      <c r="BE15" s="1" t="s">
        <v>73</v>
      </c>
      <c r="BF15" s="1" t="s">
        <v>73</v>
      </c>
      <c r="BG15" s="1" t="s">
        <v>73</v>
      </c>
      <c r="BH15" s="1" t="s">
        <v>73</v>
      </c>
      <c r="BI15" s="1" t="s">
        <v>73</v>
      </c>
      <c r="BJ15" s="1" t="s">
        <v>73</v>
      </c>
      <c r="BK15" s="1"/>
      <c r="BL15" s="1" t="s">
        <v>73</v>
      </c>
      <c r="BM15" s="1" t="s">
        <v>73</v>
      </c>
      <c r="BN15" s="1" t="s">
        <v>73</v>
      </c>
      <c r="BO15" s="1" t="s">
        <v>73</v>
      </c>
      <c r="BP15" s="1" t="s">
        <v>73</v>
      </c>
      <c r="BQ15" s="1" t="s">
        <v>73</v>
      </c>
      <c r="BR15" s="1"/>
      <c r="BS15" s="1" t="s">
        <v>73</v>
      </c>
      <c r="BT15" s="1" t="s">
        <v>369</v>
      </c>
      <c r="BU15" s="1" t="s">
        <v>369</v>
      </c>
      <c r="BV15" s="1" t="s">
        <v>369</v>
      </c>
      <c r="BW15" s="1"/>
      <c r="BX15" s="1"/>
      <c r="BY15" s="1"/>
      <c r="BZ15" s="1"/>
      <c r="CA15" s="1"/>
      <c r="CB15" s="1"/>
      <c r="CC15" s="1"/>
      <c r="CD15" s="1"/>
      <c r="CE15" s="1"/>
      <c r="CF15" s="1"/>
      <c r="CG15" s="1"/>
      <c r="DC15" s="5"/>
      <c r="DD15" s="5"/>
      <c r="DI15" s="61"/>
      <c r="DL15"/>
      <c r="DM15"/>
      <c r="DN15"/>
      <c r="DO15"/>
      <c r="DP15"/>
      <c r="DQ15"/>
      <c r="DR15"/>
      <c r="DS15"/>
      <c r="DT15"/>
      <c r="DU15"/>
      <c r="DV15"/>
      <c r="DW15"/>
      <c r="EC15" s="1"/>
      <c r="ED15" s="1"/>
      <c r="EE15" s="1"/>
      <c r="EF15" s="1"/>
      <c r="EG15" s="1"/>
      <c r="EH15" s="1"/>
      <c r="EI15" s="1"/>
      <c r="EJ15" s="1"/>
      <c r="EO15"/>
      <c r="EP15"/>
      <c r="EQ15"/>
      <c r="ER15"/>
      <c r="ES15"/>
      <c r="ET15"/>
      <c r="EU15"/>
      <c r="EV15"/>
    </row>
    <row r="16" spans="1:152" ht="16" x14ac:dyDescent="0.2">
      <c r="A16" t="s">
        <v>138</v>
      </c>
      <c r="B16" t="s">
        <v>314</v>
      </c>
      <c r="C16" t="s">
        <v>315</v>
      </c>
      <c r="D16" s="1" t="s">
        <v>73</v>
      </c>
      <c r="E16" s="1" t="s">
        <v>72</v>
      </c>
      <c r="F16" s="1" t="s">
        <v>72</v>
      </c>
      <c r="G16" s="1" t="s">
        <v>73</v>
      </c>
      <c r="H16" s="1"/>
      <c r="I16" s="1">
        <v>8</v>
      </c>
      <c r="J16">
        <v>6</v>
      </c>
      <c r="L16">
        <v>6</v>
      </c>
      <c r="M16">
        <v>6</v>
      </c>
      <c r="N16" s="1"/>
      <c r="O16" s="1"/>
      <c r="P16" s="1"/>
      <c r="Q16" s="1" t="s">
        <v>73</v>
      </c>
      <c r="R16" s="1" t="s">
        <v>73</v>
      </c>
      <c r="S16" s="1" t="s">
        <v>73</v>
      </c>
      <c r="T16" s="1"/>
      <c r="U16" s="1"/>
      <c r="V16" s="1"/>
      <c r="W16" s="1"/>
      <c r="X16" s="1"/>
      <c r="Y16" s="1"/>
      <c r="Z16" s="1" t="s">
        <v>73</v>
      </c>
      <c r="AA16" s="1" t="s">
        <v>73</v>
      </c>
      <c r="AC16" s="1">
        <v>4</v>
      </c>
      <c r="AE16" s="1"/>
      <c r="AF16" s="1"/>
      <c r="AG16">
        <v>4</v>
      </c>
      <c r="AK16" s="1" t="s">
        <v>73</v>
      </c>
      <c r="AL16" s="1" t="s">
        <v>73</v>
      </c>
      <c r="AN16" s="1" t="s">
        <v>73</v>
      </c>
      <c r="AP16" s="1" t="s">
        <v>73</v>
      </c>
      <c r="AR16" s="1" t="s">
        <v>73</v>
      </c>
      <c r="AT16" t="s">
        <v>73</v>
      </c>
      <c r="AW16" s="1">
        <v>100</v>
      </c>
      <c r="AX16" s="1">
        <v>20</v>
      </c>
      <c r="AY16" s="1" t="s">
        <v>73</v>
      </c>
      <c r="AZ16" s="1" t="s">
        <v>73</v>
      </c>
      <c r="BA16" s="126" t="s">
        <v>73</v>
      </c>
      <c r="BB16" s="1">
        <v>1953</v>
      </c>
      <c r="BC16" s="100">
        <v>45653.865555555552</v>
      </c>
      <c r="BD16" s="85">
        <v>45653.823888888888</v>
      </c>
      <c r="BE16" s="1" t="s">
        <v>73</v>
      </c>
      <c r="BF16" s="1" t="s">
        <v>73</v>
      </c>
      <c r="BG16" s="1" t="s">
        <v>73</v>
      </c>
      <c r="BH16" s="1" t="s">
        <v>73</v>
      </c>
      <c r="BI16" s="1" t="s">
        <v>73</v>
      </c>
      <c r="BJ16" s="1" t="s">
        <v>73</v>
      </c>
      <c r="BK16" s="1"/>
      <c r="BL16" s="1" t="s">
        <v>73</v>
      </c>
      <c r="BM16" s="1" t="s">
        <v>73</v>
      </c>
      <c r="BN16" s="1" t="s">
        <v>73</v>
      </c>
      <c r="BO16" s="1" t="s">
        <v>73</v>
      </c>
      <c r="BP16" s="1" t="s">
        <v>73</v>
      </c>
      <c r="BQ16" s="1" t="s">
        <v>73</v>
      </c>
      <c r="BR16" s="1"/>
      <c r="BS16" s="1" t="s">
        <v>73</v>
      </c>
      <c r="BT16" s="1" t="s">
        <v>369</v>
      </c>
      <c r="BU16" s="1" t="s">
        <v>369</v>
      </c>
      <c r="BV16" s="1" t="s">
        <v>369</v>
      </c>
      <c r="BW16" s="1"/>
      <c r="BX16" s="1"/>
      <c r="BY16" s="1"/>
      <c r="BZ16" s="1"/>
      <c r="CA16" s="1"/>
      <c r="CB16" s="1"/>
      <c r="CC16" s="1"/>
      <c r="CD16" s="1"/>
      <c r="CE16" s="1"/>
      <c r="CF16" s="1"/>
      <c r="CG16" s="1"/>
      <c r="DC16" s="5"/>
      <c r="DD16" s="5"/>
      <c r="DI16" s="61"/>
      <c r="DL16"/>
      <c r="DM16"/>
      <c r="DN16"/>
      <c r="DO16"/>
      <c r="DP16"/>
      <c r="DQ16"/>
      <c r="DR16"/>
      <c r="DS16"/>
      <c r="DT16"/>
      <c r="DU16"/>
      <c r="DV16"/>
      <c r="DW16"/>
      <c r="EC16" s="1"/>
      <c r="ED16" s="1"/>
      <c r="EE16" s="1"/>
      <c r="EF16" s="1"/>
      <c r="EG16" s="1"/>
      <c r="EH16" s="1"/>
      <c r="EI16" s="1"/>
      <c r="EJ16" s="1"/>
      <c r="EO16"/>
      <c r="EP16"/>
      <c r="EQ16"/>
      <c r="ER16"/>
      <c r="ES16"/>
      <c r="ET16"/>
      <c r="EU16"/>
      <c r="EV16"/>
    </row>
    <row r="17" spans="1:152" ht="16" x14ac:dyDescent="0.2">
      <c r="A17" t="s">
        <v>138</v>
      </c>
      <c r="B17" t="s">
        <v>311</v>
      </c>
      <c r="C17" t="s">
        <v>312</v>
      </c>
      <c r="D17" s="1" t="s">
        <v>73</v>
      </c>
      <c r="E17" s="1" t="s">
        <v>72</v>
      </c>
      <c r="F17" s="1" t="s">
        <v>73</v>
      </c>
      <c r="G17" s="1" t="s">
        <v>73</v>
      </c>
      <c r="H17" s="1"/>
      <c r="I17" s="1">
        <v>4</v>
      </c>
      <c r="J17">
        <v>6</v>
      </c>
      <c r="L17">
        <v>10</v>
      </c>
      <c r="M17">
        <v>3</v>
      </c>
      <c r="N17" s="1"/>
      <c r="O17" s="1"/>
      <c r="P17" s="1"/>
      <c r="Q17" s="1" t="s">
        <v>73</v>
      </c>
      <c r="R17" s="1" t="s">
        <v>73</v>
      </c>
      <c r="S17" s="1" t="s">
        <v>73</v>
      </c>
      <c r="T17" s="1"/>
      <c r="U17" s="1"/>
      <c r="V17" s="1"/>
      <c r="W17" s="1"/>
      <c r="X17" s="1"/>
      <c r="Y17" s="1"/>
      <c r="Z17" s="1" t="s">
        <v>73</v>
      </c>
      <c r="AA17" s="1" t="s">
        <v>73</v>
      </c>
      <c r="AC17" s="1"/>
      <c r="AE17" s="1"/>
      <c r="AF17" s="1"/>
      <c r="AK17" s="1" t="s">
        <v>73</v>
      </c>
      <c r="AL17" s="1" t="s">
        <v>72</v>
      </c>
      <c r="AM17" s="1">
        <v>6</v>
      </c>
      <c r="AN17" s="1" t="s">
        <v>72</v>
      </c>
      <c r="AO17" s="1">
        <v>6</v>
      </c>
      <c r="AP17" s="1" t="s">
        <v>73</v>
      </c>
      <c r="AR17" s="1" t="s">
        <v>72</v>
      </c>
      <c r="AS17" s="1">
        <v>6</v>
      </c>
      <c r="AT17" t="s">
        <v>72</v>
      </c>
      <c r="AU17">
        <v>2</v>
      </c>
      <c r="AV17">
        <v>2</v>
      </c>
      <c r="AW17" s="1">
        <v>75</v>
      </c>
      <c r="AX17" s="1">
        <v>13</v>
      </c>
      <c r="AY17" s="1" t="s">
        <v>73</v>
      </c>
      <c r="AZ17" s="1" t="s">
        <v>72</v>
      </c>
      <c r="BA17" s="126" t="s">
        <v>73</v>
      </c>
      <c r="BB17" s="1">
        <v>1942</v>
      </c>
      <c r="BC17" s="100">
        <v>45653.437048611115</v>
      </c>
      <c r="BD17" s="85">
        <v>45653.395381944443</v>
      </c>
      <c r="BE17" s="1" t="s">
        <v>73</v>
      </c>
      <c r="BF17" s="1" t="s">
        <v>73</v>
      </c>
      <c r="BG17" s="1" t="s">
        <v>73</v>
      </c>
      <c r="BH17" s="1" t="s">
        <v>73</v>
      </c>
      <c r="BI17" s="1" t="s">
        <v>73</v>
      </c>
      <c r="BJ17" s="1" t="s">
        <v>73</v>
      </c>
      <c r="BK17" s="1"/>
      <c r="BL17" s="1" t="s">
        <v>73</v>
      </c>
      <c r="BM17" s="1" t="s">
        <v>73</v>
      </c>
      <c r="BN17" s="1" t="s">
        <v>73</v>
      </c>
      <c r="BO17" s="1" t="s">
        <v>73</v>
      </c>
      <c r="BP17" s="1" t="s">
        <v>73</v>
      </c>
      <c r="BQ17" s="1" t="s">
        <v>73</v>
      </c>
      <c r="BR17" s="1"/>
      <c r="BS17" s="1" t="s">
        <v>73</v>
      </c>
      <c r="BT17" s="1" t="s">
        <v>369</v>
      </c>
      <c r="BU17" s="1" t="s">
        <v>369</v>
      </c>
      <c r="BV17" s="1" t="s">
        <v>369</v>
      </c>
      <c r="BW17" s="1"/>
      <c r="BX17" s="1"/>
      <c r="BY17" s="1"/>
      <c r="BZ17" s="1"/>
      <c r="CA17" s="1"/>
      <c r="CB17" s="1"/>
      <c r="CC17" s="1"/>
      <c r="CD17" s="1"/>
      <c r="CE17" s="1"/>
      <c r="CF17" s="1"/>
      <c r="CG17" s="1"/>
      <c r="DC17" s="5"/>
      <c r="DD17" s="5"/>
      <c r="DI17" s="61"/>
      <c r="DL17"/>
      <c r="DM17"/>
      <c r="DN17"/>
      <c r="DO17"/>
      <c r="DP17"/>
      <c r="DQ17"/>
      <c r="DR17"/>
      <c r="DS17"/>
      <c r="DT17"/>
      <c r="DU17"/>
      <c r="DV17"/>
      <c r="DW17"/>
      <c r="EC17" s="1"/>
      <c r="ED17" s="1"/>
      <c r="EE17" s="1"/>
      <c r="EF17" s="1"/>
      <c r="EG17" s="1"/>
      <c r="EH17" s="1"/>
      <c r="EI17" s="1"/>
      <c r="EJ17" s="1"/>
      <c r="EO17"/>
      <c r="EP17"/>
      <c r="EQ17"/>
      <c r="ER17"/>
      <c r="ES17"/>
      <c r="ET17"/>
      <c r="EU17"/>
      <c r="EV17"/>
    </row>
    <row r="18" spans="1:152" ht="16" x14ac:dyDescent="0.2">
      <c r="A18" t="s">
        <v>138</v>
      </c>
      <c r="B18" t="s">
        <v>306</v>
      </c>
      <c r="C18" t="s">
        <v>307</v>
      </c>
      <c r="D18" s="1" t="s">
        <v>73</v>
      </c>
      <c r="E18" s="1" t="s">
        <v>72</v>
      </c>
      <c r="F18" s="1" t="s">
        <v>73</v>
      </c>
      <c r="G18" s="1" t="s">
        <v>73</v>
      </c>
      <c r="H18" s="1"/>
      <c r="I18" s="1">
        <v>4</v>
      </c>
      <c r="N18" s="1"/>
      <c r="O18" s="1"/>
      <c r="P18" s="1"/>
      <c r="Q18" s="1" t="s">
        <v>73</v>
      </c>
      <c r="R18" s="1" t="s">
        <v>73</v>
      </c>
      <c r="S18" s="1" t="s">
        <v>73</v>
      </c>
      <c r="T18" s="1"/>
      <c r="U18" s="1"/>
      <c r="V18" s="1"/>
      <c r="W18" s="1"/>
      <c r="X18" s="1"/>
      <c r="Y18" s="1"/>
      <c r="Z18" s="1" t="s">
        <v>73</v>
      </c>
      <c r="AA18" s="1" t="s">
        <v>73</v>
      </c>
      <c r="AC18" s="1"/>
      <c r="AE18" s="1"/>
      <c r="AF18" s="1"/>
      <c r="AK18" s="1" t="s">
        <v>73</v>
      </c>
      <c r="AL18" s="1" t="s">
        <v>73</v>
      </c>
      <c r="AN18" s="1" t="s">
        <v>73</v>
      </c>
      <c r="AP18" s="1" t="s">
        <v>73</v>
      </c>
      <c r="AR18" s="1" t="s">
        <v>73</v>
      </c>
      <c r="AT18" t="s">
        <v>73</v>
      </c>
      <c r="AW18" s="1">
        <v>25</v>
      </c>
      <c r="AX18" s="1">
        <v>5</v>
      </c>
      <c r="AY18" s="1" t="s">
        <v>73</v>
      </c>
      <c r="AZ18" s="1" t="s">
        <v>73</v>
      </c>
      <c r="BA18" s="126" t="s">
        <v>308</v>
      </c>
      <c r="BB18" s="1">
        <v>1941</v>
      </c>
      <c r="BC18" s="100">
        <v>45653.435046296298</v>
      </c>
      <c r="BD18" s="85">
        <v>45653.393379629626</v>
      </c>
      <c r="BE18" s="1" t="s">
        <v>73</v>
      </c>
      <c r="BF18" s="1" t="s">
        <v>73</v>
      </c>
      <c r="BG18" s="1" t="s">
        <v>73</v>
      </c>
      <c r="BH18" s="1" t="s">
        <v>73</v>
      </c>
      <c r="BI18" s="1" t="s">
        <v>73</v>
      </c>
      <c r="BJ18" s="1" t="s">
        <v>73</v>
      </c>
      <c r="BK18" s="1"/>
      <c r="BL18" s="1" t="s">
        <v>73</v>
      </c>
      <c r="BM18" s="1" t="s">
        <v>73</v>
      </c>
      <c r="BN18" s="1" t="s">
        <v>73</v>
      </c>
      <c r="BO18" s="1" t="s">
        <v>73</v>
      </c>
      <c r="BP18" s="1" t="s">
        <v>73</v>
      </c>
      <c r="BQ18" s="1" t="s">
        <v>73</v>
      </c>
      <c r="BR18" s="1"/>
      <c r="BS18" s="1" t="s">
        <v>73</v>
      </c>
      <c r="BT18" s="1" t="s">
        <v>369</v>
      </c>
      <c r="BU18" s="1" t="s">
        <v>369</v>
      </c>
      <c r="BV18" s="1" t="s">
        <v>369</v>
      </c>
      <c r="BW18" s="1"/>
      <c r="BX18" s="1"/>
      <c r="BY18" s="1"/>
      <c r="BZ18" s="1"/>
      <c r="CA18" s="1"/>
      <c r="CB18" s="1"/>
      <c r="CC18" s="1"/>
      <c r="CD18" s="1"/>
      <c r="CE18" s="1"/>
      <c r="CF18" s="1"/>
      <c r="CG18" s="1"/>
      <c r="DC18" s="5"/>
      <c r="DD18" s="5"/>
      <c r="DI18" s="61"/>
      <c r="DL18"/>
      <c r="DM18"/>
      <c r="DN18"/>
      <c r="DO18"/>
      <c r="DP18"/>
      <c r="DQ18"/>
      <c r="DR18"/>
      <c r="DS18"/>
      <c r="DT18"/>
      <c r="DU18"/>
      <c r="DV18"/>
      <c r="DW18"/>
      <c r="EC18" s="1"/>
      <c r="ED18" s="1"/>
      <c r="EE18" s="1"/>
      <c r="EF18" s="1"/>
      <c r="EG18" s="1"/>
      <c r="EH18" s="1"/>
      <c r="EI18" s="1"/>
      <c r="EJ18" s="1"/>
      <c r="EO18"/>
      <c r="EP18"/>
      <c r="EQ18"/>
      <c r="ER18"/>
      <c r="ES18"/>
      <c r="ET18"/>
      <c r="EU18"/>
      <c r="EV18"/>
    </row>
    <row r="19" spans="1:152" ht="16" x14ac:dyDescent="0.2">
      <c r="A19" t="s">
        <v>138</v>
      </c>
      <c r="B19" t="s">
        <v>288</v>
      </c>
      <c r="C19" t="s">
        <v>289</v>
      </c>
      <c r="D19" s="1" t="s">
        <v>73</v>
      </c>
      <c r="E19" s="1" t="s">
        <v>72</v>
      </c>
      <c r="F19" s="1" t="s">
        <v>72</v>
      </c>
      <c r="G19" s="1" t="s">
        <v>72</v>
      </c>
      <c r="H19" s="1" t="s">
        <v>74</v>
      </c>
      <c r="I19" s="1">
        <v>10</v>
      </c>
      <c r="J19">
        <v>9</v>
      </c>
      <c r="L19">
        <v>3</v>
      </c>
      <c r="N19" s="1"/>
      <c r="O19" s="1"/>
      <c r="P19" s="1"/>
      <c r="Q19" s="1" t="s">
        <v>73</v>
      </c>
      <c r="R19" s="1" t="s">
        <v>73</v>
      </c>
      <c r="S19" s="1" t="s">
        <v>73</v>
      </c>
      <c r="T19" s="1"/>
      <c r="U19" s="1"/>
      <c r="V19" s="1"/>
      <c r="W19" s="1"/>
      <c r="X19" s="1"/>
      <c r="Y19" s="1"/>
      <c r="Z19" s="1" t="s">
        <v>73</v>
      </c>
      <c r="AA19" s="1" t="s">
        <v>73</v>
      </c>
      <c r="AB19">
        <v>4</v>
      </c>
      <c r="AC19" s="1">
        <v>9</v>
      </c>
      <c r="AD19">
        <v>4</v>
      </c>
      <c r="AE19" s="1"/>
      <c r="AF19" s="1">
        <v>2</v>
      </c>
      <c r="AG19">
        <v>8</v>
      </c>
      <c r="AH19">
        <v>3</v>
      </c>
      <c r="AJ19">
        <v>2</v>
      </c>
      <c r="AK19" s="1" t="s">
        <v>73</v>
      </c>
      <c r="AL19" s="1" t="s">
        <v>72</v>
      </c>
      <c r="AM19" s="1">
        <v>6</v>
      </c>
      <c r="AN19" s="1" t="s">
        <v>72</v>
      </c>
      <c r="AO19" s="1">
        <v>6</v>
      </c>
      <c r="AP19" s="1" t="s">
        <v>72</v>
      </c>
      <c r="AQ19" s="1">
        <v>6</v>
      </c>
      <c r="AR19" s="1" t="s">
        <v>72</v>
      </c>
      <c r="AS19" s="1">
        <v>6</v>
      </c>
      <c r="AT19" t="s">
        <v>73</v>
      </c>
      <c r="AW19" s="1">
        <v>140</v>
      </c>
      <c r="AX19" s="1">
        <v>35</v>
      </c>
      <c r="AY19" s="1" t="s">
        <v>73</v>
      </c>
      <c r="AZ19" s="1" t="s">
        <v>73</v>
      </c>
      <c r="BA19" s="126" t="s">
        <v>73</v>
      </c>
      <c r="BB19" s="1">
        <v>1926</v>
      </c>
      <c r="BC19" s="100">
        <v>45652.543194444443</v>
      </c>
      <c r="BD19" s="85">
        <v>45652.501527777778</v>
      </c>
      <c r="BE19" s="1" t="s">
        <v>73</v>
      </c>
      <c r="BF19" s="1" t="s">
        <v>73</v>
      </c>
      <c r="BG19" s="1" t="s">
        <v>73</v>
      </c>
      <c r="BH19" s="1" t="s">
        <v>73</v>
      </c>
      <c r="BI19" s="1" t="s">
        <v>73</v>
      </c>
      <c r="BJ19" s="1" t="s">
        <v>73</v>
      </c>
      <c r="BK19" s="1"/>
      <c r="BL19" s="1" t="s">
        <v>73</v>
      </c>
      <c r="BM19" s="1" t="s">
        <v>73</v>
      </c>
      <c r="BN19" s="1" t="s">
        <v>73</v>
      </c>
      <c r="BO19" s="1" t="s">
        <v>73</v>
      </c>
      <c r="BP19" s="1" t="s">
        <v>73</v>
      </c>
      <c r="BQ19" s="1" t="s">
        <v>73</v>
      </c>
      <c r="BR19" s="1"/>
      <c r="BS19" s="1" t="s">
        <v>169</v>
      </c>
      <c r="BT19" s="1" t="s">
        <v>373</v>
      </c>
      <c r="BU19" s="1" t="s">
        <v>374</v>
      </c>
      <c r="BV19" s="1" t="s">
        <v>375</v>
      </c>
      <c r="BW19" s="1">
        <v>18</v>
      </c>
      <c r="BX19" s="1"/>
      <c r="BY19" s="1"/>
      <c r="BZ19" s="1"/>
      <c r="CA19" s="1"/>
      <c r="CB19" s="1"/>
      <c r="CC19" s="1"/>
      <c r="CD19" s="1"/>
      <c r="CE19" s="1"/>
      <c r="CF19" s="1"/>
      <c r="CG19" s="1"/>
      <c r="DC19" s="5"/>
      <c r="DD19" s="5"/>
      <c r="DI19" s="61"/>
      <c r="DL19"/>
      <c r="DM19"/>
      <c r="DN19"/>
      <c r="DO19"/>
      <c r="DP19"/>
      <c r="DQ19"/>
      <c r="DR19"/>
      <c r="DS19"/>
      <c r="DT19"/>
      <c r="DU19"/>
      <c r="DV19"/>
      <c r="DW19"/>
      <c r="EC19" s="1"/>
      <c r="ED19" s="1"/>
      <c r="EE19" s="1"/>
      <c r="EF19" s="1"/>
      <c r="EG19" s="1"/>
      <c r="EH19" s="1"/>
      <c r="EI19" s="1"/>
      <c r="EJ19" s="1"/>
      <c r="EO19"/>
      <c r="EP19"/>
      <c r="EQ19"/>
      <c r="ER19"/>
      <c r="ES19"/>
      <c r="ET19"/>
      <c r="EU19"/>
      <c r="EV19"/>
    </row>
    <row r="20" spans="1:152" ht="16" x14ac:dyDescent="0.2">
      <c r="A20" t="s">
        <v>138</v>
      </c>
      <c r="B20" t="s">
        <v>200</v>
      </c>
      <c r="C20" t="s">
        <v>201</v>
      </c>
      <c r="D20" s="1" t="s">
        <v>73</v>
      </c>
      <c r="E20" s="1" t="s">
        <v>72</v>
      </c>
      <c r="F20" s="1" t="s">
        <v>72</v>
      </c>
      <c r="G20" s="1" t="s">
        <v>72</v>
      </c>
      <c r="H20" s="1" t="s">
        <v>74</v>
      </c>
      <c r="I20" s="1"/>
      <c r="N20" s="1"/>
      <c r="O20" s="1"/>
      <c r="P20" s="1"/>
      <c r="Q20" s="1" t="s">
        <v>73</v>
      </c>
      <c r="R20" s="1" t="s">
        <v>73</v>
      </c>
      <c r="S20" s="1" t="s">
        <v>73</v>
      </c>
      <c r="T20" s="1"/>
      <c r="U20" s="1"/>
      <c r="V20" s="1"/>
      <c r="W20" s="1"/>
      <c r="X20" s="1"/>
      <c r="Y20" s="1"/>
      <c r="Z20" s="1" t="s">
        <v>73</v>
      </c>
      <c r="AA20" s="1" t="s">
        <v>73</v>
      </c>
      <c r="AB20">
        <v>3</v>
      </c>
      <c r="AC20" s="1">
        <v>6</v>
      </c>
      <c r="AE20" s="1"/>
      <c r="AF20" s="1"/>
      <c r="AG20">
        <v>6</v>
      </c>
      <c r="AK20" s="1" t="s">
        <v>72</v>
      </c>
      <c r="AL20" s="1" t="s">
        <v>72</v>
      </c>
      <c r="AM20" s="1">
        <v>6</v>
      </c>
      <c r="AN20" s="1" t="s">
        <v>72</v>
      </c>
      <c r="AO20" s="1">
        <v>6</v>
      </c>
      <c r="AP20" s="1" t="s">
        <v>73</v>
      </c>
      <c r="AR20" s="1" t="s">
        <v>72</v>
      </c>
      <c r="AS20" s="1">
        <v>6</v>
      </c>
      <c r="AT20" t="s">
        <v>72</v>
      </c>
      <c r="AU20">
        <v>1</v>
      </c>
      <c r="AV20">
        <v>1</v>
      </c>
      <c r="AW20" s="1">
        <v>70</v>
      </c>
      <c r="AX20" s="1">
        <v>15</v>
      </c>
      <c r="AY20" s="1" t="s">
        <v>73</v>
      </c>
      <c r="AZ20" s="1" t="s">
        <v>73</v>
      </c>
      <c r="BA20" s="126" t="s">
        <v>73</v>
      </c>
      <c r="BB20" s="1">
        <v>1922</v>
      </c>
      <c r="BC20" s="100">
        <v>45651.5466087963</v>
      </c>
      <c r="BD20" s="85">
        <v>45657.507280092592</v>
      </c>
      <c r="BE20" s="1" t="s">
        <v>73</v>
      </c>
      <c r="BF20" s="1" t="s">
        <v>73</v>
      </c>
      <c r="BG20" s="1" t="s">
        <v>73</v>
      </c>
      <c r="BH20" s="1" t="s">
        <v>73</v>
      </c>
      <c r="BI20" s="1" t="s">
        <v>73</v>
      </c>
      <c r="BJ20" s="1" t="s">
        <v>73</v>
      </c>
      <c r="BK20" s="1"/>
      <c r="BL20" s="1" t="s">
        <v>73</v>
      </c>
      <c r="BM20" s="1" t="s">
        <v>73</v>
      </c>
      <c r="BN20" s="1" t="s">
        <v>73</v>
      </c>
      <c r="BO20" s="1" t="s">
        <v>73</v>
      </c>
      <c r="BP20" s="1" t="s">
        <v>73</v>
      </c>
      <c r="BQ20" s="1" t="s">
        <v>73</v>
      </c>
      <c r="BR20" s="1"/>
      <c r="BS20" s="1" t="s">
        <v>75</v>
      </c>
      <c r="BT20" s="1" t="s">
        <v>394</v>
      </c>
      <c r="BU20" s="1" t="s">
        <v>395</v>
      </c>
      <c r="BV20" s="1" t="s">
        <v>396</v>
      </c>
      <c r="BW20" s="1">
        <v>14</v>
      </c>
      <c r="BX20" s="1"/>
      <c r="BY20" s="1"/>
      <c r="BZ20" s="1"/>
      <c r="CA20" s="1"/>
      <c r="CB20" s="1"/>
      <c r="CC20" s="1"/>
      <c r="CD20" s="1"/>
      <c r="CE20" s="1"/>
      <c r="CF20" s="1"/>
      <c r="CG20" s="1"/>
      <c r="DC20" s="5"/>
      <c r="DD20" s="5"/>
      <c r="DI20" s="61"/>
      <c r="DL20"/>
      <c r="DM20"/>
      <c r="DN20"/>
      <c r="DO20"/>
      <c r="DP20"/>
      <c r="DQ20"/>
      <c r="DR20"/>
      <c r="DS20"/>
      <c r="DT20"/>
      <c r="DU20"/>
      <c r="DV20"/>
      <c r="DW20"/>
      <c r="EC20" s="1"/>
      <c r="ED20" s="1"/>
      <c r="EE20" s="1"/>
      <c r="EF20" s="1"/>
      <c r="EG20" s="1"/>
      <c r="EH20" s="1"/>
      <c r="EI20" s="1"/>
      <c r="EJ20" s="1"/>
      <c r="EO20"/>
      <c r="EP20"/>
      <c r="EQ20"/>
      <c r="ER20"/>
      <c r="ES20"/>
      <c r="ET20"/>
      <c r="EU20"/>
      <c r="EV20"/>
    </row>
    <row r="21" spans="1:152" ht="16" x14ac:dyDescent="0.2">
      <c r="A21" t="s">
        <v>138</v>
      </c>
      <c r="B21" t="s">
        <v>254</v>
      </c>
      <c r="C21" t="s">
        <v>255</v>
      </c>
      <c r="D21" s="1" t="s">
        <v>73</v>
      </c>
      <c r="E21" s="1" t="s">
        <v>72</v>
      </c>
      <c r="F21" s="1" t="s">
        <v>72</v>
      </c>
      <c r="G21" s="1" t="s">
        <v>73</v>
      </c>
      <c r="H21" s="1"/>
      <c r="I21" s="1">
        <v>6</v>
      </c>
      <c r="N21" s="1"/>
      <c r="O21" s="1"/>
      <c r="P21" s="1"/>
      <c r="Q21" s="1" t="s">
        <v>73</v>
      </c>
      <c r="R21" s="1" t="s">
        <v>73</v>
      </c>
      <c r="S21" s="1" t="s">
        <v>73</v>
      </c>
      <c r="T21" s="1"/>
      <c r="U21" s="1"/>
      <c r="V21" s="1"/>
      <c r="W21" s="1"/>
      <c r="X21" s="1"/>
      <c r="Y21" s="1"/>
      <c r="Z21" s="1" t="s">
        <v>72</v>
      </c>
      <c r="AA21" s="1" t="s">
        <v>73</v>
      </c>
      <c r="AC21" s="1"/>
      <c r="AE21" s="1"/>
      <c r="AF21" s="1"/>
      <c r="AK21" s="1" t="s">
        <v>73</v>
      </c>
      <c r="AL21" s="1" t="s">
        <v>72</v>
      </c>
      <c r="AM21" s="1">
        <v>6</v>
      </c>
      <c r="AN21" s="1" t="s">
        <v>72</v>
      </c>
      <c r="AO21" s="1">
        <v>6</v>
      </c>
      <c r="AP21" s="1" t="s">
        <v>73</v>
      </c>
      <c r="AR21" s="1" t="s">
        <v>72</v>
      </c>
      <c r="AS21" s="1">
        <v>6</v>
      </c>
      <c r="AT21" t="s">
        <v>73</v>
      </c>
      <c r="AW21" s="1">
        <v>68</v>
      </c>
      <c r="AX21" s="1">
        <v>7</v>
      </c>
      <c r="AY21" s="1" t="s">
        <v>73</v>
      </c>
      <c r="AZ21" s="1" t="s">
        <v>73</v>
      </c>
      <c r="BA21" s="126" t="s">
        <v>73</v>
      </c>
      <c r="BB21" s="1">
        <v>1920</v>
      </c>
      <c r="BC21" s="100">
        <v>45651.460856481484</v>
      </c>
      <c r="BD21" s="85">
        <v>45651.419189814813</v>
      </c>
      <c r="BE21" s="1" t="s">
        <v>255</v>
      </c>
      <c r="BF21" s="1" t="s">
        <v>78</v>
      </c>
      <c r="BG21" s="1" t="s">
        <v>76</v>
      </c>
      <c r="BH21" s="1" t="s">
        <v>77</v>
      </c>
      <c r="BI21" s="1" t="s">
        <v>286</v>
      </c>
      <c r="BJ21" s="1" t="s">
        <v>287</v>
      </c>
      <c r="BK21" s="1">
        <v>45</v>
      </c>
      <c r="BL21" s="1" t="s">
        <v>73</v>
      </c>
      <c r="BM21" s="1" t="s">
        <v>73</v>
      </c>
      <c r="BN21" s="1" t="s">
        <v>73</v>
      </c>
      <c r="BO21" s="1" t="s">
        <v>73</v>
      </c>
      <c r="BP21" s="1" t="s">
        <v>73</v>
      </c>
      <c r="BQ21" s="1" t="s">
        <v>73</v>
      </c>
      <c r="BR21" s="1"/>
      <c r="BS21" s="1" t="s">
        <v>73</v>
      </c>
      <c r="BT21" s="1" t="s">
        <v>369</v>
      </c>
      <c r="BU21" s="1" t="s">
        <v>369</v>
      </c>
      <c r="BV21" s="1" t="s">
        <v>369</v>
      </c>
      <c r="BW21" s="1"/>
      <c r="BX21" s="1"/>
      <c r="BY21" s="1"/>
      <c r="BZ21" s="1"/>
      <c r="CA21" s="1"/>
      <c r="CB21" s="1"/>
      <c r="CC21" s="1"/>
      <c r="CD21" s="1"/>
      <c r="CE21" s="1"/>
      <c r="CF21" s="1"/>
      <c r="CG21" s="1"/>
      <c r="DC21" s="5"/>
      <c r="DD21" s="5"/>
      <c r="DI21" s="61"/>
      <c r="DL21"/>
      <c r="DM21"/>
      <c r="DN21"/>
      <c r="DO21"/>
      <c r="DP21"/>
      <c r="DQ21"/>
      <c r="DR21"/>
      <c r="DS21"/>
      <c r="DT21"/>
      <c r="DU21"/>
      <c r="DV21"/>
      <c r="DW21"/>
      <c r="EC21" s="1"/>
      <c r="ED21" s="1"/>
      <c r="EE21" s="1"/>
      <c r="EF21" s="1"/>
      <c r="EG21" s="1"/>
      <c r="EH21" s="1"/>
      <c r="EI21" s="1"/>
      <c r="EJ21" s="1"/>
      <c r="EO21"/>
      <c r="EP21"/>
      <c r="EQ21"/>
      <c r="ER21"/>
      <c r="ES21"/>
      <c r="ET21"/>
      <c r="EU21"/>
      <c r="EV21"/>
    </row>
    <row r="22" spans="1:152" ht="16" x14ac:dyDescent="0.2">
      <c r="A22" t="s">
        <v>138</v>
      </c>
      <c r="B22" t="s">
        <v>278</v>
      </c>
      <c r="C22" t="s">
        <v>279</v>
      </c>
      <c r="D22" s="1" t="s">
        <v>73</v>
      </c>
      <c r="E22" s="1" t="s">
        <v>72</v>
      </c>
      <c r="F22" s="1" t="s">
        <v>72</v>
      </c>
      <c r="G22" s="1" t="s">
        <v>73</v>
      </c>
      <c r="H22" s="1" t="s">
        <v>72</v>
      </c>
      <c r="I22" s="1">
        <v>6</v>
      </c>
      <c r="J22">
        <v>6</v>
      </c>
      <c r="N22" s="1"/>
      <c r="O22" s="1"/>
      <c r="P22" s="1"/>
      <c r="Q22" s="1" t="s">
        <v>73</v>
      </c>
      <c r="R22" s="1" t="s">
        <v>73</v>
      </c>
      <c r="S22" s="1" t="s">
        <v>73</v>
      </c>
      <c r="T22" s="1"/>
      <c r="U22" s="1"/>
      <c r="V22" s="1"/>
      <c r="W22" s="1"/>
      <c r="X22" s="1"/>
      <c r="Y22" s="1"/>
      <c r="Z22" s="1" t="s">
        <v>73</v>
      </c>
      <c r="AA22" s="1" t="s">
        <v>73</v>
      </c>
      <c r="AB22">
        <v>3</v>
      </c>
      <c r="AC22" s="1">
        <v>3</v>
      </c>
      <c r="AE22" s="1"/>
      <c r="AF22" s="1"/>
      <c r="AG22">
        <v>3</v>
      </c>
      <c r="AK22" s="1" t="s">
        <v>72</v>
      </c>
      <c r="AL22" s="1" t="s">
        <v>72</v>
      </c>
      <c r="AM22" s="1">
        <v>6</v>
      </c>
      <c r="AN22" s="1" t="s">
        <v>72</v>
      </c>
      <c r="AO22" s="1">
        <v>6</v>
      </c>
      <c r="AP22" s="1" t="s">
        <v>73</v>
      </c>
      <c r="AR22" s="1" t="s">
        <v>73</v>
      </c>
      <c r="AT22" t="s">
        <v>73</v>
      </c>
      <c r="AW22" s="1">
        <v>100</v>
      </c>
      <c r="AX22" s="1">
        <v>30</v>
      </c>
      <c r="AY22" s="1" t="s">
        <v>72</v>
      </c>
      <c r="AZ22" s="1" t="s">
        <v>72</v>
      </c>
      <c r="BA22" s="126" t="s">
        <v>73</v>
      </c>
      <c r="BB22" s="1">
        <v>1917</v>
      </c>
      <c r="BC22" s="100">
        <v>45649.826215277775</v>
      </c>
      <c r="BD22" s="85">
        <v>45649.784548611111</v>
      </c>
      <c r="BE22" s="1" t="s">
        <v>73</v>
      </c>
      <c r="BF22" s="1" t="s">
        <v>73</v>
      </c>
      <c r="BG22" s="1" t="s">
        <v>73</v>
      </c>
      <c r="BH22" s="1" t="s">
        <v>73</v>
      </c>
      <c r="BI22" s="1" t="s">
        <v>73</v>
      </c>
      <c r="BJ22" s="1" t="s">
        <v>73</v>
      </c>
      <c r="BK22" s="1"/>
      <c r="BL22" s="1" t="s">
        <v>73</v>
      </c>
      <c r="BM22" s="1" t="s">
        <v>73</v>
      </c>
      <c r="BN22" s="1" t="s">
        <v>73</v>
      </c>
      <c r="BO22" s="1" t="s">
        <v>73</v>
      </c>
      <c r="BP22" s="1" t="s">
        <v>73</v>
      </c>
      <c r="BQ22" s="1" t="s">
        <v>73</v>
      </c>
      <c r="BR22" s="1"/>
      <c r="BS22" s="1" t="s">
        <v>75</v>
      </c>
      <c r="BT22" s="1" t="s">
        <v>376</v>
      </c>
      <c r="BU22" s="1" t="s">
        <v>377</v>
      </c>
      <c r="BV22" s="1" t="s">
        <v>378</v>
      </c>
      <c r="BW22" s="1">
        <v>12</v>
      </c>
      <c r="BX22" s="1"/>
      <c r="BY22" s="1"/>
      <c r="BZ22" s="1"/>
      <c r="CA22" s="1"/>
      <c r="CB22" s="1"/>
      <c r="CC22" s="1"/>
      <c r="CD22" s="1"/>
      <c r="CE22" s="1"/>
      <c r="CF22" s="1"/>
      <c r="CG22" s="1"/>
      <c r="DC22" s="5"/>
      <c r="DD22" s="5"/>
      <c r="DI22" s="61"/>
      <c r="DL22"/>
      <c r="DM22"/>
      <c r="DN22"/>
      <c r="DO22"/>
      <c r="DP22"/>
      <c r="DQ22"/>
      <c r="DR22"/>
      <c r="DS22"/>
      <c r="DT22"/>
      <c r="DU22"/>
      <c r="DV22"/>
      <c r="DW22"/>
      <c r="EC22" s="1"/>
      <c r="ED22" s="1"/>
      <c r="EE22" s="1"/>
      <c r="EF22" s="1"/>
      <c r="EG22" s="1"/>
      <c r="EH22" s="1"/>
      <c r="EI22" s="1"/>
      <c r="EJ22" s="1"/>
      <c r="EO22"/>
      <c r="EP22"/>
      <c r="EQ22"/>
      <c r="ER22"/>
      <c r="ES22"/>
      <c r="ET22"/>
      <c r="EU22"/>
      <c r="EV22"/>
    </row>
    <row r="23" spans="1:152" ht="16" x14ac:dyDescent="0.2">
      <c r="A23" t="s">
        <v>138</v>
      </c>
      <c r="B23" t="s">
        <v>269</v>
      </c>
      <c r="C23" t="s">
        <v>270</v>
      </c>
      <c r="D23" s="1" t="s">
        <v>73</v>
      </c>
      <c r="E23" s="1" t="s">
        <v>72</v>
      </c>
      <c r="F23" s="1" t="s">
        <v>73</v>
      </c>
      <c r="G23" s="1" t="s">
        <v>73</v>
      </c>
      <c r="H23" s="1"/>
      <c r="I23" s="1"/>
      <c r="J23">
        <v>5</v>
      </c>
      <c r="N23" s="1"/>
      <c r="O23" s="1"/>
      <c r="P23" s="1"/>
      <c r="Q23" s="1" t="s">
        <v>73</v>
      </c>
      <c r="R23" s="1" t="s">
        <v>73</v>
      </c>
      <c r="S23" s="1" t="s">
        <v>73</v>
      </c>
      <c r="T23" s="1"/>
      <c r="U23" s="1"/>
      <c r="V23" s="1"/>
      <c r="W23" s="1"/>
      <c r="X23" s="1"/>
      <c r="Y23" s="1"/>
      <c r="Z23" s="1" t="s">
        <v>73</v>
      </c>
      <c r="AA23" s="1" t="s">
        <v>73</v>
      </c>
      <c r="AC23" s="1">
        <v>5</v>
      </c>
      <c r="AE23" s="1">
        <v>2</v>
      </c>
      <c r="AF23" s="1"/>
      <c r="AG23">
        <v>5</v>
      </c>
      <c r="AI23">
        <v>2</v>
      </c>
      <c r="AK23" s="1" t="s">
        <v>73</v>
      </c>
      <c r="AL23" s="1" t="s">
        <v>72</v>
      </c>
      <c r="AM23" s="1">
        <v>4</v>
      </c>
      <c r="AN23" s="1" t="s">
        <v>72</v>
      </c>
      <c r="AO23" s="1">
        <v>4</v>
      </c>
      <c r="AP23" s="1" t="s">
        <v>73</v>
      </c>
      <c r="AR23" s="1" t="s">
        <v>72</v>
      </c>
      <c r="AS23" s="1">
        <v>4</v>
      </c>
      <c r="AT23" t="s">
        <v>73</v>
      </c>
      <c r="AW23" s="1">
        <v>50</v>
      </c>
      <c r="AX23" s="1">
        <v>10</v>
      </c>
      <c r="AY23" s="1" t="s">
        <v>73</v>
      </c>
      <c r="AZ23" s="1" t="s">
        <v>73</v>
      </c>
      <c r="BA23" s="126" t="s">
        <v>73</v>
      </c>
      <c r="BB23" s="1">
        <v>1909</v>
      </c>
      <c r="BC23" s="100">
        <v>45649.61141203704</v>
      </c>
      <c r="BD23" s="85">
        <v>45649.569745370369</v>
      </c>
      <c r="BE23" s="1" t="s">
        <v>73</v>
      </c>
      <c r="BF23" s="1" t="s">
        <v>73</v>
      </c>
      <c r="BG23" s="1" t="s">
        <v>73</v>
      </c>
      <c r="BH23" s="1" t="s">
        <v>73</v>
      </c>
      <c r="BI23" s="1" t="s">
        <v>73</v>
      </c>
      <c r="BJ23" s="1" t="s">
        <v>73</v>
      </c>
      <c r="BK23" s="1"/>
      <c r="BL23" s="1" t="s">
        <v>73</v>
      </c>
      <c r="BM23" s="1" t="s">
        <v>73</v>
      </c>
      <c r="BN23" s="1" t="s">
        <v>73</v>
      </c>
      <c r="BO23" s="1" t="s">
        <v>73</v>
      </c>
      <c r="BP23" s="1" t="s">
        <v>73</v>
      </c>
      <c r="BQ23" s="1" t="s">
        <v>73</v>
      </c>
      <c r="BR23" s="1"/>
      <c r="BS23" s="1" t="s">
        <v>73</v>
      </c>
      <c r="BT23" s="1" t="s">
        <v>369</v>
      </c>
      <c r="BU23" s="1" t="s">
        <v>369</v>
      </c>
      <c r="BV23" s="1" t="s">
        <v>369</v>
      </c>
      <c r="BW23" s="1"/>
      <c r="BX23" s="1"/>
      <c r="BY23" s="1"/>
      <c r="BZ23" s="1"/>
      <c r="CA23" s="1"/>
      <c r="CB23" s="1"/>
      <c r="CC23" s="1"/>
      <c r="CD23" s="1"/>
      <c r="CE23" s="1"/>
      <c r="CF23" s="1"/>
      <c r="CG23" s="1"/>
      <c r="DC23" s="5"/>
      <c r="DD23" s="5"/>
      <c r="DI23" s="61"/>
      <c r="DL23"/>
      <c r="DM23"/>
      <c r="DN23"/>
      <c r="DO23"/>
      <c r="DP23"/>
      <c r="DQ23"/>
      <c r="DR23"/>
      <c r="DS23"/>
      <c r="DT23"/>
      <c r="DU23"/>
      <c r="DV23"/>
      <c r="DW23"/>
      <c r="EC23" s="1"/>
      <c r="ED23" s="1"/>
      <c r="EE23" s="1"/>
      <c r="EF23" s="1"/>
      <c r="EG23" s="1"/>
      <c r="EH23" s="1"/>
      <c r="EI23" s="1"/>
      <c r="EJ23" s="1"/>
      <c r="EO23"/>
      <c r="EP23"/>
      <c r="EQ23"/>
      <c r="ER23"/>
      <c r="ES23"/>
      <c r="ET23"/>
      <c r="EU23"/>
      <c r="EV23"/>
    </row>
    <row r="24" spans="1:152" ht="16" x14ac:dyDescent="0.2">
      <c r="A24" t="s">
        <v>138</v>
      </c>
      <c r="B24" t="s">
        <v>185</v>
      </c>
      <c r="C24" t="s">
        <v>133</v>
      </c>
      <c r="D24" s="1" t="s">
        <v>73</v>
      </c>
      <c r="E24" s="1" t="s">
        <v>72</v>
      </c>
      <c r="F24" s="1" t="s">
        <v>73</v>
      </c>
      <c r="G24" s="1" t="s">
        <v>73</v>
      </c>
      <c r="H24" s="1"/>
      <c r="I24" s="1">
        <v>9</v>
      </c>
      <c r="J24">
        <v>3</v>
      </c>
      <c r="L24">
        <v>3</v>
      </c>
      <c r="N24" s="1"/>
      <c r="O24" s="1"/>
      <c r="P24" s="1"/>
      <c r="Q24" s="1" t="s">
        <v>73</v>
      </c>
      <c r="R24" s="1" t="s">
        <v>73</v>
      </c>
      <c r="S24" s="1" t="s">
        <v>73</v>
      </c>
      <c r="T24" s="1"/>
      <c r="U24" s="1"/>
      <c r="V24" s="1"/>
      <c r="W24" s="1"/>
      <c r="X24" s="1"/>
      <c r="Y24" s="1"/>
      <c r="Z24" s="1" t="s">
        <v>73</v>
      </c>
      <c r="AA24" s="1" t="s">
        <v>73</v>
      </c>
      <c r="AC24" s="1">
        <v>3</v>
      </c>
      <c r="AE24" s="1"/>
      <c r="AF24" s="1"/>
      <c r="AG24">
        <v>3</v>
      </c>
      <c r="AK24" s="1" t="s">
        <v>73</v>
      </c>
      <c r="AL24" s="1" t="s">
        <v>72</v>
      </c>
      <c r="AM24" s="1">
        <v>6</v>
      </c>
      <c r="AN24" s="1" t="s">
        <v>72</v>
      </c>
      <c r="AO24" s="1">
        <v>6</v>
      </c>
      <c r="AP24" s="1" t="s">
        <v>73</v>
      </c>
      <c r="AR24" s="1" t="s">
        <v>72</v>
      </c>
      <c r="AS24" s="1">
        <v>6</v>
      </c>
      <c r="AT24" t="s">
        <v>73</v>
      </c>
      <c r="AW24" s="1">
        <v>68</v>
      </c>
      <c r="AX24" s="1">
        <v>3</v>
      </c>
      <c r="AY24" s="1" t="s">
        <v>73</v>
      </c>
      <c r="AZ24" s="1" t="s">
        <v>73</v>
      </c>
      <c r="BA24" s="126" t="s">
        <v>73</v>
      </c>
      <c r="BB24" s="1">
        <v>1904</v>
      </c>
      <c r="BC24" s="100">
        <v>45649.545995370368</v>
      </c>
      <c r="BD24" s="85">
        <v>45655.582002314812</v>
      </c>
      <c r="BE24" s="1" t="s">
        <v>73</v>
      </c>
      <c r="BF24" s="1" t="s">
        <v>73</v>
      </c>
      <c r="BG24" s="1" t="s">
        <v>73</v>
      </c>
      <c r="BH24" s="1" t="s">
        <v>73</v>
      </c>
      <c r="BI24" s="1" t="s">
        <v>73</v>
      </c>
      <c r="BJ24" s="1" t="s">
        <v>73</v>
      </c>
      <c r="BK24" s="1"/>
      <c r="BL24" s="1" t="s">
        <v>73</v>
      </c>
      <c r="BM24" s="1" t="s">
        <v>73</v>
      </c>
      <c r="BN24" s="1" t="s">
        <v>73</v>
      </c>
      <c r="BO24" s="1" t="s">
        <v>73</v>
      </c>
      <c r="BP24" s="1" t="s">
        <v>73</v>
      </c>
      <c r="BQ24" s="1" t="s">
        <v>73</v>
      </c>
      <c r="BR24" s="1"/>
      <c r="BS24" s="1" t="s">
        <v>73</v>
      </c>
      <c r="BT24" s="1" t="s">
        <v>369</v>
      </c>
      <c r="BU24" s="1" t="s">
        <v>369</v>
      </c>
      <c r="BV24" s="1" t="s">
        <v>369</v>
      </c>
      <c r="BW24" s="1"/>
      <c r="BX24" s="1"/>
      <c r="BY24" s="1"/>
      <c r="BZ24" s="1"/>
      <c r="CA24" s="1"/>
      <c r="CB24" s="1"/>
      <c r="CC24" s="1"/>
      <c r="CD24" s="1"/>
      <c r="CE24" s="1"/>
      <c r="CF24" s="1"/>
      <c r="CG24" s="1"/>
      <c r="DC24" s="5"/>
      <c r="DD24" s="5"/>
      <c r="DI24" s="61"/>
      <c r="DL24"/>
      <c r="DM24"/>
      <c r="DN24"/>
      <c r="DO24"/>
      <c r="DP24"/>
      <c r="DQ24"/>
      <c r="DR24"/>
      <c r="DS24"/>
      <c r="DT24"/>
      <c r="DU24"/>
      <c r="DV24"/>
      <c r="DW24"/>
      <c r="EC24" s="1"/>
      <c r="ED24" s="1"/>
      <c r="EE24" s="1"/>
      <c r="EF24" s="1"/>
      <c r="EG24" s="1"/>
      <c r="EH24" s="1"/>
      <c r="EI24" s="1"/>
      <c r="EJ24" s="1"/>
      <c r="EO24"/>
      <c r="EP24"/>
      <c r="EQ24"/>
      <c r="ER24"/>
      <c r="ES24"/>
      <c r="ET24"/>
      <c r="EU24"/>
      <c r="EV24"/>
    </row>
    <row r="25" spans="1:152" ht="16" x14ac:dyDescent="0.2">
      <c r="A25" t="s">
        <v>138</v>
      </c>
      <c r="B25" t="s">
        <v>174</v>
      </c>
      <c r="C25" t="s">
        <v>130</v>
      </c>
      <c r="D25" s="1" t="s">
        <v>73</v>
      </c>
      <c r="E25" s="1" t="s">
        <v>72</v>
      </c>
      <c r="F25" s="1" t="s">
        <v>73</v>
      </c>
      <c r="G25" s="1" t="s">
        <v>73</v>
      </c>
      <c r="H25" s="1"/>
      <c r="I25" s="1">
        <v>4</v>
      </c>
      <c r="N25" s="1"/>
      <c r="O25" s="1"/>
      <c r="P25" s="1"/>
      <c r="Q25" s="1" t="s">
        <v>73</v>
      </c>
      <c r="R25" s="1" t="s">
        <v>73</v>
      </c>
      <c r="S25" s="1" t="s">
        <v>73</v>
      </c>
      <c r="T25" s="1"/>
      <c r="U25" s="1"/>
      <c r="V25" s="1"/>
      <c r="W25" s="1"/>
      <c r="X25" s="1"/>
      <c r="Y25" s="1"/>
      <c r="Z25" s="1" t="s">
        <v>73</v>
      </c>
      <c r="AA25" s="1" t="s">
        <v>73</v>
      </c>
      <c r="AC25" s="1"/>
      <c r="AE25" s="1"/>
      <c r="AF25" s="1"/>
      <c r="AK25" s="1" t="s">
        <v>73</v>
      </c>
      <c r="AL25" s="1" t="s">
        <v>72</v>
      </c>
      <c r="AM25" s="1">
        <v>4</v>
      </c>
      <c r="AN25" s="1" t="s">
        <v>72</v>
      </c>
      <c r="AO25" s="1">
        <v>4</v>
      </c>
      <c r="AP25" s="1" t="s">
        <v>73</v>
      </c>
      <c r="AR25" s="1" t="s">
        <v>73</v>
      </c>
      <c r="AT25" t="s">
        <v>73</v>
      </c>
      <c r="AW25" s="1">
        <v>35</v>
      </c>
      <c r="AX25" s="1">
        <v>0</v>
      </c>
      <c r="AY25" s="1" t="s">
        <v>73</v>
      </c>
      <c r="AZ25" s="1" t="s">
        <v>73</v>
      </c>
      <c r="BA25" s="126" t="s">
        <v>73</v>
      </c>
      <c r="BB25" s="1">
        <v>1901</v>
      </c>
      <c r="BC25" s="100">
        <v>45649.41201388889</v>
      </c>
      <c r="BD25" s="85">
        <v>45649.370347222219</v>
      </c>
      <c r="BE25" s="1" t="s">
        <v>73</v>
      </c>
      <c r="BF25" s="1" t="s">
        <v>73</v>
      </c>
      <c r="BG25" s="1" t="s">
        <v>73</v>
      </c>
      <c r="BH25" s="1" t="s">
        <v>73</v>
      </c>
      <c r="BI25" s="1" t="s">
        <v>73</v>
      </c>
      <c r="BJ25" s="1" t="s">
        <v>73</v>
      </c>
      <c r="BK25" s="1"/>
      <c r="BL25" s="1" t="s">
        <v>73</v>
      </c>
      <c r="BM25" s="1" t="s">
        <v>73</v>
      </c>
      <c r="BN25" s="1" t="s">
        <v>73</v>
      </c>
      <c r="BO25" s="1" t="s">
        <v>73</v>
      </c>
      <c r="BP25" s="1" t="s">
        <v>73</v>
      </c>
      <c r="BQ25" s="1" t="s">
        <v>73</v>
      </c>
      <c r="BR25" s="1"/>
      <c r="BS25" s="1" t="s">
        <v>73</v>
      </c>
      <c r="BT25" s="1" t="s">
        <v>369</v>
      </c>
      <c r="BU25" s="1" t="s">
        <v>369</v>
      </c>
      <c r="BV25" s="1" t="s">
        <v>369</v>
      </c>
      <c r="BW25" s="1"/>
      <c r="BX25" s="1"/>
      <c r="BY25" s="1"/>
      <c r="BZ25" s="1"/>
      <c r="CA25" s="1"/>
      <c r="CB25" s="1"/>
      <c r="CC25" s="1"/>
      <c r="CD25" s="1"/>
      <c r="CE25" s="1"/>
      <c r="CF25" s="1"/>
      <c r="CG25" s="1"/>
      <c r="DC25" s="5"/>
      <c r="DD25" s="5"/>
      <c r="DI25" s="61"/>
      <c r="DL25"/>
      <c r="DM25"/>
      <c r="DN25"/>
      <c r="DO25"/>
      <c r="DP25"/>
      <c r="DQ25"/>
      <c r="DR25"/>
      <c r="DS25"/>
      <c r="DT25"/>
      <c r="DU25"/>
      <c r="DV25"/>
      <c r="DW25"/>
      <c r="EC25" s="1"/>
      <c r="ED25" s="1"/>
      <c r="EE25" s="1"/>
      <c r="EF25" s="1"/>
      <c r="EG25" s="1"/>
      <c r="EH25" s="1"/>
      <c r="EI25" s="1"/>
      <c r="EJ25" s="1"/>
      <c r="EO25"/>
      <c r="EP25"/>
      <c r="EQ25"/>
      <c r="ER25"/>
      <c r="ES25"/>
      <c r="ET25"/>
      <c r="EU25"/>
      <c r="EV25"/>
    </row>
    <row r="26" spans="1:152" ht="16" x14ac:dyDescent="0.2">
      <c r="A26" t="s">
        <v>138</v>
      </c>
      <c r="B26" t="s">
        <v>262</v>
      </c>
      <c r="C26" t="s">
        <v>263</v>
      </c>
      <c r="D26" s="1" t="s">
        <v>73</v>
      </c>
      <c r="E26" s="1" t="s">
        <v>72</v>
      </c>
      <c r="F26" s="1" t="s">
        <v>72</v>
      </c>
      <c r="G26" s="1" t="s">
        <v>72</v>
      </c>
      <c r="H26" s="1" t="s">
        <v>74</v>
      </c>
      <c r="I26" s="1">
        <v>10</v>
      </c>
      <c r="L26">
        <v>3</v>
      </c>
      <c r="N26" s="1">
        <v>4</v>
      </c>
      <c r="O26" s="1"/>
      <c r="P26" s="1"/>
      <c r="Q26" s="1" t="s">
        <v>73</v>
      </c>
      <c r="R26" s="1" t="s">
        <v>73</v>
      </c>
      <c r="S26" s="1" t="s">
        <v>73</v>
      </c>
      <c r="T26" s="1">
        <v>1</v>
      </c>
      <c r="U26" s="1">
        <v>1</v>
      </c>
      <c r="V26" s="1">
        <v>1</v>
      </c>
      <c r="W26" s="1">
        <v>1</v>
      </c>
      <c r="X26" s="1">
        <v>1</v>
      </c>
      <c r="Y26" s="1">
        <v>1</v>
      </c>
      <c r="Z26" s="1" t="s">
        <v>73</v>
      </c>
      <c r="AA26" s="1" t="s">
        <v>73</v>
      </c>
      <c r="AB26">
        <v>5</v>
      </c>
      <c r="AC26" s="1">
        <v>9</v>
      </c>
      <c r="AE26" s="1">
        <v>1</v>
      </c>
      <c r="AF26" s="1"/>
      <c r="AG26">
        <v>9</v>
      </c>
      <c r="AI26">
        <v>1</v>
      </c>
      <c r="AK26" s="1" t="s">
        <v>73</v>
      </c>
      <c r="AL26" s="1" t="s">
        <v>72</v>
      </c>
      <c r="AM26" s="1">
        <v>6</v>
      </c>
      <c r="AN26" s="1" t="s">
        <v>73</v>
      </c>
      <c r="AP26" s="1" t="s">
        <v>73</v>
      </c>
      <c r="AR26" s="1" t="s">
        <v>72</v>
      </c>
      <c r="AS26" s="1">
        <v>6</v>
      </c>
      <c r="AT26" t="s">
        <v>72</v>
      </c>
      <c r="AU26">
        <v>1</v>
      </c>
      <c r="AV26">
        <v>1</v>
      </c>
      <c r="AW26" s="1">
        <v>70</v>
      </c>
      <c r="AX26" s="1">
        <v>26</v>
      </c>
      <c r="AY26" s="1" t="s">
        <v>73</v>
      </c>
      <c r="AZ26" s="1" t="s">
        <v>73</v>
      </c>
      <c r="BA26" s="126" t="s">
        <v>73</v>
      </c>
      <c r="BB26" s="1">
        <v>1900</v>
      </c>
      <c r="BC26" s="100">
        <v>45648.900243055556</v>
      </c>
      <c r="BD26" s="85">
        <v>45648.858576388891</v>
      </c>
      <c r="BE26" s="1" t="s">
        <v>73</v>
      </c>
      <c r="BF26" s="1" t="s">
        <v>73</v>
      </c>
      <c r="BG26" s="1" t="s">
        <v>73</v>
      </c>
      <c r="BH26" s="1" t="s">
        <v>73</v>
      </c>
      <c r="BI26" s="1" t="s">
        <v>73</v>
      </c>
      <c r="BJ26" s="1" t="s">
        <v>73</v>
      </c>
      <c r="BK26" s="1"/>
      <c r="BL26" s="1" t="s">
        <v>73</v>
      </c>
      <c r="BM26" s="1" t="s">
        <v>73</v>
      </c>
      <c r="BN26" s="1" t="s">
        <v>73</v>
      </c>
      <c r="BO26" s="1" t="s">
        <v>73</v>
      </c>
      <c r="BP26" s="1" t="s">
        <v>73</v>
      </c>
      <c r="BQ26" s="1" t="s">
        <v>73</v>
      </c>
      <c r="BR26" s="1"/>
      <c r="BS26" s="1" t="s">
        <v>75</v>
      </c>
      <c r="BT26" s="1" t="s">
        <v>379</v>
      </c>
      <c r="BU26" s="1" t="s">
        <v>390</v>
      </c>
      <c r="BV26" s="1" t="s">
        <v>381</v>
      </c>
      <c r="BW26" s="1">
        <v>20</v>
      </c>
      <c r="BX26" s="1"/>
      <c r="BY26" s="1"/>
      <c r="BZ26" s="1"/>
      <c r="CA26" s="1"/>
      <c r="CB26" s="1"/>
      <c r="CC26" s="1"/>
      <c r="CD26" s="1"/>
      <c r="CE26" s="1"/>
      <c r="CF26" s="1"/>
      <c r="CG26" s="1"/>
      <c r="DC26" s="5"/>
      <c r="DD26" s="5"/>
      <c r="DI26" s="61"/>
      <c r="DL26"/>
      <c r="DM26"/>
      <c r="DN26"/>
      <c r="DO26"/>
      <c r="DP26"/>
      <c r="DQ26"/>
      <c r="DR26"/>
      <c r="DS26"/>
      <c r="DT26"/>
      <c r="DU26"/>
      <c r="DV26"/>
      <c r="DW26"/>
      <c r="EC26" s="1"/>
      <c r="ED26" s="1"/>
      <c r="EE26" s="1"/>
      <c r="EF26" s="1"/>
      <c r="EG26" s="1"/>
      <c r="EH26" s="1"/>
      <c r="EI26" s="1"/>
      <c r="EJ26" s="1"/>
      <c r="EO26"/>
      <c r="EP26"/>
      <c r="EQ26"/>
      <c r="ER26"/>
      <c r="ES26"/>
      <c r="ET26"/>
      <c r="EU26"/>
      <c r="EV26"/>
    </row>
    <row r="27" spans="1:152" ht="16" x14ac:dyDescent="0.2">
      <c r="A27" t="s">
        <v>138</v>
      </c>
      <c r="B27" t="s">
        <v>259</v>
      </c>
      <c r="C27" t="s">
        <v>260</v>
      </c>
      <c r="D27" s="1" t="s">
        <v>73</v>
      </c>
      <c r="E27" s="1" t="s">
        <v>73</v>
      </c>
      <c r="F27" s="1" t="s">
        <v>72</v>
      </c>
      <c r="G27" s="1" t="s">
        <v>73</v>
      </c>
      <c r="H27" s="1"/>
      <c r="I27" s="1">
        <v>4</v>
      </c>
      <c r="N27" s="1"/>
      <c r="O27" s="1"/>
      <c r="P27" s="1"/>
      <c r="Q27" s="1" t="s">
        <v>73</v>
      </c>
      <c r="R27" s="1" t="s">
        <v>73</v>
      </c>
      <c r="S27" s="1" t="s">
        <v>73</v>
      </c>
      <c r="T27" s="1"/>
      <c r="U27" s="1"/>
      <c r="V27" s="1"/>
      <c r="W27" s="1"/>
      <c r="X27" s="1"/>
      <c r="Y27" s="1"/>
      <c r="Z27" s="1" t="s">
        <v>73</v>
      </c>
      <c r="AA27" s="1" t="s">
        <v>73</v>
      </c>
      <c r="AC27" s="1"/>
      <c r="AE27" s="1"/>
      <c r="AF27" s="1"/>
      <c r="AK27" s="1" t="s">
        <v>73</v>
      </c>
      <c r="AL27" s="1" t="s">
        <v>72</v>
      </c>
      <c r="AM27" s="1">
        <v>6</v>
      </c>
      <c r="AN27" s="1" t="s">
        <v>72</v>
      </c>
      <c r="AO27" s="1">
        <v>6</v>
      </c>
      <c r="AP27" s="1" t="s">
        <v>73</v>
      </c>
      <c r="AR27" s="1" t="s">
        <v>73</v>
      </c>
      <c r="AT27" t="s">
        <v>73</v>
      </c>
      <c r="AW27" s="1">
        <v>15</v>
      </c>
      <c r="AX27" s="1">
        <v>2</v>
      </c>
      <c r="AY27" s="1" t="s">
        <v>73</v>
      </c>
      <c r="AZ27" s="1" t="s">
        <v>73</v>
      </c>
      <c r="BA27" s="126" t="s">
        <v>261</v>
      </c>
      <c r="BB27" s="1">
        <v>1895</v>
      </c>
      <c r="BC27" s="100">
        <v>45648.814293981479</v>
      </c>
      <c r="BD27" s="85">
        <v>45648.772627314815</v>
      </c>
      <c r="BE27" s="1" t="s">
        <v>73</v>
      </c>
      <c r="BF27" s="1" t="s">
        <v>73</v>
      </c>
      <c r="BG27" s="1" t="s">
        <v>73</v>
      </c>
      <c r="BH27" s="1" t="s">
        <v>73</v>
      </c>
      <c r="BI27" s="1" t="s">
        <v>73</v>
      </c>
      <c r="BJ27" s="1" t="s">
        <v>73</v>
      </c>
      <c r="BK27" s="1"/>
      <c r="BL27" s="1" t="s">
        <v>73</v>
      </c>
      <c r="BM27" s="1" t="s">
        <v>73</v>
      </c>
      <c r="BN27" s="1" t="s">
        <v>73</v>
      </c>
      <c r="BO27" s="1" t="s">
        <v>73</v>
      </c>
      <c r="BP27" s="1" t="s">
        <v>73</v>
      </c>
      <c r="BQ27" s="1" t="s">
        <v>73</v>
      </c>
      <c r="BR27" s="1"/>
      <c r="BS27" s="1" t="s">
        <v>73</v>
      </c>
      <c r="BT27" s="1" t="s">
        <v>369</v>
      </c>
      <c r="BU27" s="1" t="s">
        <v>369</v>
      </c>
      <c r="BV27" s="1" t="s">
        <v>369</v>
      </c>
      <c r="BW27" s="1"/>
      <c r="BX27" s="1"/>
      <c r="BY27" s="1"/>
      <c r="BZ27" s="1"/>
      <c r="CA27" s="1"/>
      <c r="CB27" s="1"/>
      <c r="CC27" s="1"/>
      <c r="CD27" s="1"/>
      <c r="CE27" s="1"/>
      <c r="CF27" s="1"/>
      <c r="CG27" s="1"/>
      <c r="DC27" s="5"/>
      <c r="DD27" s="5"/>
      <c r="DI27" s="61"/>
      <c r="DL27"/>
      <c r="DM27"/>
      <c r="DN27"/>
      <c r="DO27"/>
      <c r="DP27"/>
      <c r="DQ27"/>
      <c r="DR27"/>
      <c r="DS27"/>
      <c r="DT27"/>
      <c r="DU27"/>
      <c r="DV27"/>
      <c r="DW27"/>
      <c r="EC27" s="1"/>
      <c r="ED27" s="1"/>
      <c r="EE27" s="1"/>
      <c r="EF27" s="1"/>
      <c r="EG27" s="1"/>
      <c r="EH27" s="1"/>
      <c r="EI27" s="1"/>
      <c r="EJ27" s="1"/>
      <c r="EO27"/>
      <c r="EP27"/>
      <c r="EQ27"/>
      <c r="ER27"/>
      <c r="ES27"/>
      <c r="ET27"/>
      <c r="EU27"/>
      <c r="EV27"/>
    </row>
    <row r="28" spans="1:152" ht="16" x14ac:dyDescent="0.2">
      <c r="A28" t="s">
        <v>138</v>
      </c>
      <c r="B28" t="s">
        <v>257</v>
      </c>
      <c r="C28" t="s">
        <v>258</v>
      </c>
      <c r="D28" s="1" t="s">
        <v>72</v>
      </c>
      <c r="E28" s="1" t="s">
        <v>73</v>
      </c>
      <c r="F28" s="1" t="s">
        <v>73</v>
      </c>
      <c r="G28" s="1" t="s">
        <v>73</v>
      </c>
      <c r="H28" s="1"/>
      <c r="I28" s="1"/>
      <c r="N28" s="1"/>
      <c r="O28" s="1"/>
      <c r="P28" s="1"/>
      <c r="Q28" s="1" t="s">
        <v>73</v>
      </c>
      <c r="R28" s="1" t="s">
        <v>73</v>
      </c>
      <c r="S28" s="1" t="s">
        <v>73</v>
      </c>
      <c r="T28" s="1"/>
      <c r="U28" s="1"/>
      <c r="V28" s="1"/>
      <c r="W28" s="1"/>
      <c r="X28" s="1"/>
      <c r="Y28" s="1"/>
      <c r="Z28" s="1" t="s">
        <v>73</v>
      </c>
      <c r="AA28" s="1" t="s">
        <v>73</v>
      </c>
      <c r="AC28" s="1"/>
      <c r="AE28" s="1"/>
      <c r="AF28" s="1"/>
      <c r="AK28" s="1" t="s">
        <v>73</v>
      </c>
      <c r="AL28" s="1" t="s">
        <v>73</v>
      </c>
      <c r="AN28" s="1" t="s">
        <v>73</v>
      </c>
      <c r="AP28" s="1" t="s">
        <v>73</v>
      </c>
      <c r="AR28" s="1" t="s">
        <v>73</v>
      </c>
      <c r="AT28" t="s">
        <v>73</v>
      </c>
      <c r="AW28" s="1">
        <v>4</v>
      </c>
      <c r="AX28" s="1">
        <v>0</v>
      </c>
      <c r="AY28" s="1" t="s">
        <v>73</v>
      </c>
      <c r="AZ28" s="1" t="s">
        <v>73</v>
      </c>
      <c r="BA28" s="126" t="s">
        <v>73</v>
      </c>
      <c r="BB28" s="1">
        <v>1892</v>
      </c>
      <c r="BC28" s="100">
        <v>45648.416087962964</v>
      </c>
      <c r="BD28" s="85">
        <v>45648.374421296299</v>
      </c>
      <c r="BE28" s="1" t="s">
        <v>73</v>
      </c>
      <c r="BF28" s="1" t="s">
        <v>73</v>
      </c>
      <c r="BG28" s="1" t="s">
        <v>73</v>
      </c>
      <c r="BH28" s="1" t="s">
        <v>73</v>
      </c>
      <c r="BI28" s="1" t="s">
        <v>73</v>
      </c>
      <c r="BJ28" s="1" t="s">
        <v>73</v>
      </c>
      <c r="BK28" s="1"/>
      <c r="BL28" s="1" t="s">
        <v>73</v>
      </c>
      <c r="BM28" s="1" t="s">
        <v>73</v>
      </c>
      <c r="BN28" s="1" t="s">
        <v>73</v>
      </c>
      <c r="BO28" s="1" t="s">
        <v>73</v>
      </c>
      <c r="BP28" s="1" t="s">
        <v>73</v>
      </c>
      <c r="BQ28" s="1" t="s">
        <v>73</v>
      </c>
      <c r="BR28" s="1"/>
      <c r="BS28" s="1" t="s">
        <v>73</v>
      </c>
      <c r="BT28" s="1" t="s">
        <v>369</v>
      </c>
      <c r="BU28" s="1" t="s">
        <v>369</v>
      </c>
      <c r="BV28" s="1" t="s">
        <v>369</v>
      </c>
      <c r="BW28" s="1"/>
      <c r="BX28" s="1"/>
      <c r="BY28" s="1"/>
      <c r="BZ28" s="1"/>
      <c r="CA28" s="1"/>
      <c r="CB28" s="1"/>
      <c r="CC28" s="1"/>
      <c r="CD28" s="1"/>
      <c r="CE28" s="1"/>
      <c r="CF28" s="1"/>
      <c r="CG28" s="1"/>
      <c r="DC28" s="5"/>
      <c r="DD28" s="5"/>
      <c r="DI28" s="61"/>
      <c r="DL28"/>
      <c r="DM28"/>
      <c r="DN28"/>
      <c r="DO28"/>
      <c r="DP28"/>
      <c r="DQ28"/>
      <c r="DR28"/>
      <c r="DS28"/>
      <c r="DT28"/>
      <c r="DU28"/>
      <c r="DV28"/>
      <c r="DW28"/>
      <c r="EC28" s="1"/>
      <c r="ED28" s="1"/>
      <c r="EE28" s="1"/>
      <c r="EF28" s="1"/>
      <c r="EG28" s="1"/>
      <c r="EH28" s="1"/>
      <c r="EI28" s="1"/>
      <c r="EJ28" s="1"/>
      <c r="EO28"/>
      <c r="EP28"/>
      <c r="EQ28"/>
      <c r="ER28"/>
      <c r="ES28"/>
      <c r="ET28"/>
      <c r="EU28"/>
      <c r="EV28"/>
    </row>
    <row r="29" spans="1:152" ht="16" x14ac:dyDescent="0.2">
      <c r="A29" t="s">
        <v>138</v>
      </c>
      <c r="B29" t="s">
        <v>247</v>
      </c>
      <c r="C29" t="s">
        <v>248</v>
      </c>
      <c r="D29" s="1" t="s">
        <v>73</v>
      </c>
      <c r="E29" s="1" t="s">
        <v>72</v>
      </c>
      <c r="F29" s="1" t="s">
        <v>72</v>
      </c>
      <c r="G29" s="1" t="s">
        <v>73</v>
      </c>
      <c r="H29" s="1"/>
      <c r="I29" s="1">
        <v>8</v>
      </c>
      <c r="J29">
        <v>3</v>
      </c>
      <c r="N29" s="1"/>
      <c r="O29" s="1"/>
      <c r="P29" s="1"/>
      <c r="Q29" s="1" t="s">
        <v>73</v>
      </c>
      <c r="R29" s="1" t="s">
        <v>73</v>
      </c>
      <c r="S29" s="1" t="s">
        <v>73</v>
      </c>
      <c r="T29" s="1"/>
      <c r="U29" s="1"/>
      <c r="V29" s="1"/>
      <c r="W29" s="1"/>
      <c r="X29" s="1"/>
      <c r="Y29" s="1"/>
      <c r="Z29" s="1" t="s">
        <v>73</v>
      </c>
      <c r="AA29" s="1" t="s">
        <v>73</v>
      </c>
      <c r="AC29" s="1"/>
      <c r="AE29" s="1"/>
      <c r="AF29" s="1"/>
      <c r="AK29" s="1" t="s">
        <v>73</v>
      </c>
      <c r="AL29" s="1" t="s">
        <v>73</v>
      </c>
      <c r="AN29" s="1" t="s">
        <v>73</v>
      </c>
      <c r="AP29" s="1" t="s">
        <v>73</v>
      </c>
      <c r="AR29" s="1" t="s">
        <v>73</v>
      </c>
      <c r="AT29" t="s">
        <v>72</v>
      </c>
      <c r="AU29">
        <v>1</v>
      </c>
      <c r="AV29">
        <v>1</v>
      </c>
      <c r="AW29" s="1">
        <v>35</v>
      </c>
      <c r="AX29" s="1">
        <v>4</v>
      </c>
      <c r="AY29" s="1" t="s">
        <v>73</v>
      </c>
      <c r="AZ29" s="1" t="s">
        <v>73</v>
      </c>
      <c r="BA29" s="126" t="s">
        <v>73</v>
      </c>
      <c r="BB29" s="1">
        <v>1889</v>
      </c>
      <c r="BC29" s="100">
        <v>45647.568692129629</v>
      </c>
      <c r="BD29" s="85">
        <v>45657.428495370368</v>
      </c>
      <c r="BE29" s="1" t="s">
        <v>73</v>
      </c>
      <c r="BF29" s="1" t="s">
        <v>73</v>
      </c>
      <c r="BG29" s="1" t="s">
        <v>73</v>
      </c>
      <c r="BH29" s="1" t="s">
        <v>73</v>
      </c>
      <c r="BI29" s="1" t="s">
        <v>73</v>
      </c>
      <c r="BJ29" s="1" t="s">
        <v>73</v>
      </c>
      <c r="BK29" s="1"/>
      <c r="BL29" s="1" t="s">
        <v>73</v>
      </c>
      <c r="BM29" s="1" t="s">
        <v>73</v>
      </c>
      <c r="BN29" s="1" t="s">
        <v>73</v>
      </c>
      <c r="BO29" s="1" t="s">
        <v>73</v>
      </c>
      <c r="BP29" s="1" t="s">
        <v>73</v>
      </c>
      <c r="BQ29" s="1" t="s">
        <v>73</v>
      </c>
      <c r="BR29" s="1"/>
      <c r="BS29" s="1" t="s">
        <v>73</v>
      </c>
      <c r="BT29" s="1" t="s">
        <v>369</v>
      </c>
      <c r="BU29" s="1" t="s">
        <v>369</v>
      </c>
      <c r="BV29" s="1" t="s">
        <v>369</v>
      </c>
      <c r="BW29" s="1"/>
      <c r="BX29" s="1"/>
      <c r="BY29" s="1"/>
      <c r="BZ29" s="1"/>
      <c r="CA29" s="1"/>
      <c r="CB29" s="1"/>
      <c r="CC29" s="1"/>
      <c r="CD29" s="1"/>
      <c r="CE29" s="1"/>
      <c r="CF29" s="1"/>
      <c r="CG29" s="1"/>
      <c r="DC29" s="5"/>
      <c r="DD29" s="5"/>
      <c r="DI29" s="61"/>
      <c r="DL29"/>
      <c r="DM29"/>
      <c r="DN29"/>
      <c r="DO29"/>
      <c r="DP29"/>
      <c r="DQ29"/>
      <c r="DR29"/>
      <c r="DS29"/>
      <c r="DT29"/>
      <c r="DU29"/>
      <c r="DV29"/>
      <c r="DW29"/>
      <c r="EC29" s="1"/>
      <c r="ED29" s="1"/>
      <c r="EE29" s="1"/>
      <c r="EF29" s="1"/>
      <c r="EG29" s="1"/>
      <c r="EH29" s="1"/>
      <c r="EI29" s="1"/>
      <c r="EJ29" s="1"/>
      <c r="EO29"/>
      <c r="EP29"/>
      <c r="EQ29"/>
      <c r="ER29"/>
      <c r="ES29"/>
      <c r="ET29"/>
      <c r="EU29"/>
      <c r="EV29"/>
    </row>
    <row r="30" spans="1:152" ht="16" x14ac:dyDescent="0.2">
      <c r="A30" t="s">
        <v>138</v>
      </c>
      <c r="B30" t="s">
        <v>249</v>
      </c>
      <c r="C30" t="s">
        <v>250</v>
      </c>
      <c r="D30" s="1" t="s">
        <v>73</v>
      </c>
      <c r="E30" s="1" t="s">
        <v>72</v>
      </c>
      <c r="F30" s="1" t="s">
        <v>72</v>
      </c>
      <c r="G30" s="1" t="s">
        <v>73</v>
      </c>
      <c r="H30" s="1"/>
      <c r="I30" s="1">
        <v>7</v>
      </c>
      <c r="J30">
        <v>3</v>
      </c>
      <c r="N30" s="1"/>
      <c r="O30" s="1"/>
      <c r="P30" s="1"/>
      <c r="Q30" s="1" t="s">
        <v>73</v>
      </c>
      <c r="R30" s="1" t="s">
        <v>73</v>
      </c>
      <c r="S30" s="1" t="s">
        <v>73</v>
      </c>
      <c r="T30" s="1"/>
      <c r="U30" s="1">
        <v>1</v>
      </c>
      <c r="V30" s="1"/>
      <c r="W30" s="1"/>
      <c r="X30" s="1">
        <v>1</v>
      </c>
      <c r="Y30" s="1"/>
      <c r="Z30" s="1" t="s">
        <v>72</v>
      </c>
      <c r="AA30" s="1" t="s">
        <v>73</v>
      </c>
      <c r="AC30" s="1"/>
      <c r="AE30" s="1"/>
      <c r="AF30" s="1"/>
      <c r="AK30" s="1" t="s">
        <v>73</v>
      </c>
      <c r="AL30" s="1" t="s">
        <v>72</v>
      </c>
      <c r="AM30" s="1">
        <v>6</v>
      </c>
      <c r="AN30" s="1" t="s">
        <v>73</v>
      </c>
      <c r="AP30" s="1" t="s">
        <v>73</v>
      </c>
      <c r="AR30" s="1" t="s">
        <v>72</v>
      </c>
      <c r="AS30" s="1">
        <v>5</v>
      </c>
      <c r="AT30" t="s">
        <v>72</v>
      </c>
      <c r="AU30">
        <v>2</v>
      </c>
      <c r="AV30">
        <v>2</v>
      </c>
      <c r="AW30" s="1">
        <v>25</v>
      </c>
      <c r="AX30" s="1">
        <v>4</v>
      </c>
      <c r="AY30" s="1" t="s">
        <v>73</v>
      </c>
      <c r="AZ30" s="1" t="s">
        <v>73</v>
      </c>
      <c r="BA30" s="126" t="s">
        <v>73</v>
      </c>
      <c r="BB30" s="1">
        <v>1888</v>
      </c>
      <c r="BC30" s="100">
        <v>45647.561111111114</v>
      </c>
      <c r="BD30" s="85">
        <v>45656.451249999998</v>
      </c>
      <c r="BE30" s="1" t="s">
        <v>250</v>
      </c>
      <c r="BF30" s="1" t="s">
        <v>251</v>
      </c>
      <c r="BG30" s="1" t="s">
        <v>76</v>
      </c>
      <c r="BH30" s="1" t="s">
        <v>252</v>
      </c>
      <c r="BI30" s="1" t="s">
        <v>253</v>
      </c>
      <c r="BJ30" s="1" t="s">
        <v>253</v>
      </c>
      <c r="BK30" s="1">
        <v>8</v>
      </c>
      <c r="BL30" s="1" t="s">
        <v>73</v>
      </c>
      <c r="BM30" s="1" t="s">
        <v>73</v>
      </c>
      <c r="BN30" s="1" t="s">
        <v>73</v>
      </c>
      <c r="BO30" s="1" t="s">
        <v>73</v>
      </c>
      <c r="BP30" s="1" t="s">
        <v>73</v>
      </c>
      <c r="BQ30" s="1" t="s">
        <v>73</v>
      </c>
      <c r="BR30" s="1"/>
      <c r="BS30" s="1" t="s">
        <v>73</v>
      </c>
      <c r="BT30" s="1" t="s">
        <v>369</v>
      </c>
      <c r="BU30" s="1" t="s">
        <v>369</v>
      </c>
      <c r="BV30" s="1" t="s">
        <v>369</v>
      </c>
      <c r="BW30" s="1"/>
      <c r="BX30" s="1"/>
      <c r="BY30" s="1"/>
      <c r="BZ30" s="1"/>
      <c r="CA30" s="1"/>
      <c r="CB30" s="1"/>
      <c r="CC30" s="1"/>
      <c r="CD30" s="1"/>
      <c r="CE30" s="1"/>
      <c r="CF30" s="1"/>
      <c r="CG30" s="1"/>
      <c r="DC30" s="5"/>
      <c r="DD30" s="5"/>
      <c r="DI30" s="61"/>
      <c r="DL30"/>
      <c r="DM30"/>
      <c r="DN30"/>
      <c r="DO30"/>
      <c r="DP30"/>
      <c r="DQ30"/>
      <c r="DR30"/>
      <c r="DS30"/>
      <c r="DT30"/>
      <c r="DU30"/>
      <c r="DV30"/>
      <c r="DW30"/>
      <c r="EC30" s="1"/>
      <c r="ED30" s="1"/>
      <c r="EE30" s="1"/>
      <c r="EF30" s="1"/>
      <c r="EG30" s="1"/>
      <c r="EH30" s="1"/>
      <c r="EI30" s="1"/>
      <c r="EJ30" s="1"/>
      <c r="EO30"/>
      <c r="EP30"/>
      <c r="EQ30"/>
      <c r="ER30"/>
      <c r="ES30"/>
      <c r="ET30"/>
      <c r="EU30"/>
      <c r="EV30"/>
    </row>
    <row r="31" spans="1:152" ht="16" x14ac:dyDescent="0.2">
      <c r="A31" t="s">
        <v>138</v>
      </c>
      <c r="B31" t="s">
        <v>241</v>
      </c>
      <c r="C31" t="s">
        <v>242</v>
      </c>
      <c r="D31" s="1" t="s">
        <v>73</v>
      </c>
      <c r="E31" s="1" t="s">
        <v>72</v>
      </c>
      <c r="F31" s="1" t="s">
        <v>72</v>
      </c>
      <c r="G31" s="1" t="s">
        <v>73</v>
      </c>
      <c r="H31" s="1" t="s">
        <v>72</v>
      </c>
      <c r="I31" s="1">
        <v>6</v>
      </c>
      <c r="J31">
        <v>3</v>
      </c>
      <c r="N31" s="1"/>
      <c r="O31" s="1"/>
      <c r="P31" s="1"/>
      <c r="Q31" s="1" t="s">
        <v>73</v>
      </c>
      <c r="R31" s="1" t="s">
        <v>73</v>
      </c>
      <c r="S31" s="1" t="s">
        <v>73</v>
      </c>
      <c r="T31" s="1">
        <v>1</v>
      </c>
      <c r="U31" s="1"/>
      <c r="V31" s="1"/>
      <c r="W31" s="1">
        <v>1</v>
      </c>
      <c r="X31" s="1"/>
      <c r="Y31" s="1"/>
      <c r="Z31" s="1" t="s">
        <v>73</v>
      </c>
      <c r="AA31" s="1" t="s">
        <v>73</v>
      </c>
      <c r="AB31">
        <v>7</v>
      </c>
      <c r="AC31" s="1"/>
      <c r="AE31" s="1"/>
      <c r="AF31" s="1"/>
      <c r="AK31" s="1" t="s">
        <v>73</v>
      </c>
      <c r="AL31" s="1" t="s">
        <v>72</v>
      </c>
      <c r="AM31" s="1">
        <v>6</v>
      </c>
      <c r="AN31" s="1" t="s">
        <v>72</v>
      </c>
      <c r="AO31" s="1">
        <v>6</v>
      </c>
      <c r="AP31" s="1" t="s">
        <v>73</v>
      </c>
      <c r="AR31" s="1" t="s">
        <v>72</v>
      </c>
      <c r="AS31" s="1">
        <v>6</v>
      </c>
      <c r="AT31" t="s">
        <v>72</v>
      </c>
      <c r="AU31">
        <v>4</v>
      </c>
      <c r="AV31">
        <v>5</v>
      </c>
      <c r="AW31" s="1">
        <v>46</v>
      </c>
      <c r="AX31" s="1">
        <v>18</v>
      </c>
      <c r="AY31" s="1" t="s">
        <v>73</v>
      </c>
      <c r="AZ31" s="1" t="s">
        <v>73</v>
      </c>
      <c r="BA31" s="126" t="s">
        <v>73</v>
      </c>
      <c r="BB31" s="1">
        <v>1886</v>
      </c>
      <c r="BC31" s="100">
        <v>45647.555879629632</v>
      </c>
      <c r="BD31" s="85">
        <v>45657.487395833334</v>
      </c>
      <c r="BE31" s="1" t="s">
        <v>73</v>
      </c>
      <c r="BF31" s="1" t="s">
        <v>73</v>
      </c>
      <c r="BG31" s="1" t="s">
        <v>73</v>
      </c>
      <c r="BH31" s="1" t="s">
        <v>73</v>
      </c>
      <c r="BI31" s="1" t="s">
        <v>73</v>
      </c>
      <c r="BJ31" s="1" t="s">
        <v>73</v>
      </c>
      <c r="BK31" s="1"/>
      <c r="BL31" s="1" t="s">
        <v>73</v>
      </c>
      <c r="BM31" s="1" t="s">
        <v>73</v>
      </c>
      <c r="BN31" s="1" t="s">
        <v>73</v>
      </c>
      <c r="BO31" s="1" t="s">
        <v>73</v>
      </c>
      <c r="BP31" s="1" t="s">
        <v>73</v>
      </c>
      <c r="BQ31" s="1" t="s">
        <v>73</v>
      </c>
      <c r="BR31" s="1"/>
      <c r="BS31" s="1" t="s">
        <v>169</v>
      </c>
      <c r="BT31" s="1" t="s">
        <v>391</v>
      </c>
      <c r="BU31" s="1" t="s">
        <v>392</v>
      </c>
      <c r="BV31" s="1" t="s">
        <v>393</v>
      </c>
      <c r="BW31" s="1">
        <v>8</v>
      </c>
      <c r="BX31" s="1"/>
      <c r="BY31" s="1"/>
      <c r="BZ31" s="1"/>
      <c r="CA31" s="1"/>
      <c r="CB31" s="1"/>
      <c r="CC31" s="1"/>
      <c r="CD31" s="1"/>
      <c r="CE31" s="1"/>
      <c r="CF31" s="1"/>
      <c r="CG31" s="1"/>
      <c r="DC31" s="5"/>
      <c r="DD31" s="5"/>
      <c r="DI31" s="61"/>
      <c r="DL31"/>
      <c r="DM31"/>
      <c r="DN31"/>
      <c r="DO31"/>
      <c r="DP31"/>
      <c r="DQ31"/>
      <c r="DR31"/>
      <c r="DS31"/>
      <c r="DT31"/>
      <c r="DU31"/>
      <c r="DV31"/>
      <c r="DW31"/>
      <c r="EC31" s="1"/>
      <c r="ED31" s="1"/>
      <c r="EE31" s="1"/>
      <c r="EF31" s="1"/>
      <c r="EG31" s="1"/>
      <c r="EH31" s="1"/>
      <c r="EI31" s="1"/>
      <c r="EJ31" s="1"/>
      <c r="EO31"/>
      <c r="EP31"/>
      <c r="EQ31"/>
      <c r="ER31"/>
      <c r="ES31"/>
      <c r="ET31"/>
      <c r="EU31"/>
      <c r="EV31"/>
    </row>
    <row r="32" spans="1:152" ht="16" x14ac:dyDescent="0.2">
      <c r="A32" t="s">
        <v>138</v>
      </c>
      <c r="B32" t="s">
        <v>244</v>
      </c>
      <c r="C32" t="s">
        <v>245</v>
      </c>
      <c r="D32" s="1" t="s">
        <v>73</v>
      </c>
      <c r="E32" s="1" t="s">
        <v>72</v>
      </c>
      <c r="F32" s="1" t="s">
        <v>72</v>
      </c>
      <c r="G32" s="1" t="s">
        <v>73</v>
      </c>
      <c r="H32" s="1"/>
      <c r="I32" s="1">
        <v>7</v>
      </c>
      <c r="N32" s="1"/>
      <c r="O32" s="1"/>
      <c r="P32" s="1"/>
      <c r="Q32" s="1" t="s">
        <v>73</v>
      </c>
      <c r="R32" s="1" t="s">
        <v>73</v>
      </c>
      <c r="S32" s="1" t="s">
        <v>73</v>
      </c>
      <c r="T32" s="1">
        <v>2</v>
      </c>
      <c r="U32" s="1"/>
      <c r="V32" s="1"/>
      <c r="W32" s="1">
        <v>2</v>
      </c>
      <c r="X32" s="1"/>
      <c r="Y32" s="1"/>
      <c r="Z32" s="1" t="s">
        <v>72</v>
      </c>
      <c r="AA32" s="1" t="s">
        <v>73</v>
      </c>
      <c r="AC32" s="1">
        <v>2</v>
      </c>
      <c r="AE32" s="1"/>
      <c r="AF32" s="1"/>
      <c r="AG32">
        <v>2</v>
      </c>
      <c r="AK32" s="1" t="s">
        <v>73</v>
      </c>
      <c r="AL32" s="1" t="s">
        <v>72</v>
      </c>
      <c r="AM32" s="1">
        <v>6</v>
      </c>
      <c r="AN32" s="1" t="s">
        <v>72</v>
      </c>
      <c r="AO32" s="1">
        <v>6</v>
      </c>
      <c r="AP32" s="1" t="s">
        <v>73</v>
      </c>
      <c r="AR32" s="1" t="s">
        <v>72</v>
      </c>
      <c r="AS32" s="1">
        <v>6</v>
      </c>
      <c r="AT32" t="s">
        <v>72</v>
      </c>
      <c r="AU32">
        <v>1</v>
      </c>
      <c r="AW32" s="1">
        <v>75</v>
      </c>
      <c r="AX32" s="1">
        <v>5</v>
      </c>
      <c r="AY32" s="1" t="s">
        <v>73</v>
      </c>
      <c r="AZ32" s="1" t="s">
        <v>73</v>
      </c>
      <c r="BA32" s="126" t="s">
        <v>73</v>
      </c>
      <c r="BB32" s="1">
        <v>1881</v>
      </c>
      <c r="BC32" s="100">
        <v>45647.422800925924</v>
      </c>
      <c r="BD32" s="85">
        <v>45647.44159722222</v>
      </c>
      <c r="BE32" s="1" t="s">
        <v>245</v>
      </c>
      <c r="BF32" s="1" t="s">
        <v>78</v>
      </c>
      <c r="BG32" s="1" t="s">
        <v>215</v>
      </c>
      <c r="BH32" s="1" t="s">
        <v>162</v>
      </c>
      <c r="BI32" s="1" t="s">
        <v>246</v>
      </c>
      <c r="BJ32" s="1" t="s">
        <v>246</v>
      </c>
      <c r="BK32" s="1">
        <v>35</v>
      </c>
      <c r="BL32" s="1" t="s">
        <v>73</v>
      </c>
      <c r="BM32" s="1" t="s">
        <v>73</v>
      </c>
      <c r="BN32" s="1" t="s">
        <v>73</v>
      </c>
      <c r="BO32" s="1" t="s">
        <v>73</v>
      </c>
      <c r="BP32" s="1" t="s">
        <v>73</v>
      </c>
      <c r="BQ32" s="1" t="s">
        <v>73</v>
      </c>
      <c r="BR32" s="1"/>
      <c r="BS32" s="1" t="s">
        <v>73</v>
      </c>
      <c r="BT32" s="1" t="s">
        <v>369</v>
      </c>
      <c r="BU32" s="1" t="s">
        <v>369</v>
      </c>
      <c r="BV32" s="1" t="s">
        <v>369</v>
      </c>
      <c r="BW32" s="1"/>
      <c r="BX32" s="1"/>
      <c r="BY32" s="1"/>
      <c r="BZ32" s="1"/>
      <c r="CA32" s="1"/>
      <c r="CB32" s="1"/>
      <c r="CC32" s="1"/>
      <c r="CD32" s="1"/>
      <c r="CE32" s="1"/>
      <c r="CF32" s="1"/>
      <c r="CG32" s="1"/>
      <c r="DC32" s="5"/>
      <c r="DD32" s="5"/>
      <c r="DI32" s="61"/>
      <c r="DL32"/>
      <c r="DM32"/>
      <c r="DN32"/>
      <c r="DO32"/>
      <c r="DP32"/>
      <c r="DQ32"/>
      <c r="DR32"/>
      <c r="DS32"/>
      <c r="DT32"/>
      <c r="DU32"/>
      <c r="DV32"/>
      <c r="DW32"/>
      <c r="EC32" s="1"/>
      <c r="ED32" s="1"/>
      <c r="EE32" s="1"/>
      <c r="EF32" s="1"/>
      <c r="EG32" s="1"/>
      <c r="EH32" s="1"/>
      <c r="EI32" s="1"/>
      <c r="EJ32" s="1"/>
      <c r="EO32"/>
      <c r="EP32"/>
      <c r="EQ32"/>
      <c r="ER32"/>
      <c r="ES32"/>
      <c r="ET32"/>
      <c r="EU32"/>
      <c r="EV32"/>
    </row>
    <row r="33" spans="1:152" ht="16" x14ac:dyDescent="0.2">
      <c r="A33" t="s">
        <v>138</v>
      </c>
      <c r="B33" t="s">
        <v>207</v>
      </c>
      <c r="C33" t="s">
        <v>236</v>
      </c>
      <c r="D33" s="1" t="s">
        <v>73</v>
      </c>
      <c r="E33" s="1" t="s">
        <v>72</v>
      </c>
      <c r="F33" s="1" t="s">
        <v>72</v>
      </c>
      <c r="G33" s="1" t="s">
        <v>73</v>
      </c>
      <c r="H33" s="1"/>
      <c r="I33" s="1">
        <v>7</v>
      </c>
      <c r="N33" s="1"/>
      <c r="O33" s="1"/>
      <c r="P33" s="1"/>
      <c r="Q33" s="1" t="s">
        <v>73</v>
      </c>
      <c r="R33" s="1" t="s">
        <v>73</v>
      </c>
      <c r="S33" s="1" t="s">
        <v>73</v>
      </c>
      <c r="T33" s="1"/>
      <c r="U33" s="1"/>
      <c r="V33" s="1"/>
      <c r="W33" s="1"/>
      <c r="X33" s="1"/>
      <c r="Y33" s="1"/>
      <c r="Z33" s="1" t="s">
        <v>72</v>
      </c>
      <c r="AA33" s="1" t="s">
        <v>73</v>
      </c>
      <c r="AC33" s="1"/>
      <c r="AE33" s="1"/>
      <c r="AF33" s="1"/>
      <c r="AK33" s="1" t="s">
        <v>72</v>
      </c>
      <c r="AL33" s="1" t="s">
        <v>72</v>
      </c>
      <c r="AM33" s="1">
        <v>6</v>
      </c>
      <c r="AN33" s="1" t="s">
        <v>72</v>
      </c>
      <c r="AO33" s="1">
        <v>6</v>
      </c>
      <c r="AP33" s="1" t="s">
        <v>73</v>
      </c>
      <c r="AR33" s="1" t="s">
        <v>72</v>
      </c>
      <c r="AS33" s="1">
        <v>6</v>
      </c>
      <c r="AT33" t="s">
        <v>73</v>
      </c>
      <c r="AW33" s="1">
        <v>57</v>
      </c>
      <c r="AX33" s="1">
        <v>2</v>
      </c>
      <c r="AY33" s="1" t="s">
        <v>73</v>
      </c>
      <c r="AZ33" s="1" t="s">
        <v>73</v>
      </c>
      <c r="BA33" s="126" t="s">
        <v>73</v>
      </c>
      <c r="BB33" s="1">
        <v>1877</v>
      </c>
      <c r="BC33" s="100">
        <v>45646.491331018522</v>
      </c>
      <c r="BD33" s="85">
        <v>45655.502465277779</v>
      </c>
      <c r="BE33" s="1" t="s">
        <v>236</v>
      </c>
      <c r="BF33" s="1" t="s">
        <v>78</v>
      </c>
      <c r="BG33" s="1" t="s">
        <v>215</v>
      </c>
      <c r="BH33" s="1" t="s">
        <v>77</v>
      </c>
      <c r="BI33" s="1" t="s">
        <v>325</v>
      </c>
      <c r="BJ33" s="1" t="s">
        <v>325</v>
      </c>
      <c r="BK33" s="1">
        <v>31</v>
      </c>
      <c r="BL33" s="1" t="s">
        <v>73</v>
      </c>
      <c r="BM33" s="1" t="s">
        <v>73</v>
      </c>
      <c r="BN33" s="1" t="s">
        <v>73</v>
      </c>
      <c r="BO33" s="1" t="s">
        <v>73</v>
      </c>
      <c r="BP33" s="1" t="s">
        <v>73</v>
      </c>
      <c r="BQ33" s="1" t="s">
        <v>73</v>
      </c>
      <c r="BR33" s="1"/>
      <c r="BS33" s="1" t="s">
        <v>73</v>
      </c>
      <c r="BT33" s="1" t="s">
        <v>369</v>
      </c>
      <c r="BU33" s="1" t="s">
        <v>369</v>
      </c>
      <c r="BV33" s="1" t="s">
        <v>369</v>
      </c>
      <c r="BW33" s="1"/>
      <c r="BX33" s="1"/>
      <c r="BY33" s="1"/>
      <c r="BZ33" s="1"/>
      <c r="CA33" s="1"/>
      <c r="CB33" s="1"/>
      <c r="CC33" s="1"/>
      <c r="CD33" s="1"/>
      <c r="CE33" s="1"/>
      <c r="CF33" s="1"/>
      <c r="CG33" s="1"/>
      <c r="DC33" s="5"/>
      <c r="DD33" s="5"/>
      <c r="DI33" s="61"/>
      <c r="DL33"/>
      <c r="DM33"/>
      <c r="DN33"/>
      <c r="DO33"/>
      <c r="DP33"/>
      <c r="DQ33"/>
      <c r="DR33"/>
      <c r="DS33"/>
      <c r="DT33"/>
      <c r="DU33"/>
      <c r="DV33"/>
      <c r="DW33"/>
      <c r="EC33" s="1"/>
      <c r="ED33" s="1"/>
      <c r="EE33" s="1"/>
      <c r="EF33" s="1"/>
      <c r="EG33" s="1"/>
      <c r="EH33" s="1"/>
      <c r="EI33" s="1"/>
      <c r="EJ33" s="1"/>
      <c r="EO33"/>
      <c r="EP33"/>
      <c r="EQ33"/>
      <c r="ER33"/>
      <c r="ES33"/>
      <c r="ET33"/>
      <c r="EU33"/>
      <c r="EV33"/>
    </row>
    <row r="34" spans="1:152" ht="16" x14ac:dyDescent="0.2">
      <c r="A34" t="s">
        <v>138</v>
      </c>
      <c r="B34" t="s">
        <v>231</v>
      </c>
      <c r="C34" t="s">
        <v>232</v>
      </c>
      <c r="D34" s="1" t="s">
        <v>73</v>
      </c>
      <c r="E34" s="1" t="s">
        <v>72</v>
      </c>
      <c r="F34" s="1" t="s">
        <v>72</v>
      </c>
      <c r="G34" s="1" t="s">
        <v>73</v>
      </c>
      <c r="H34" s="1"/>
      <c r="I34" s="1">
        <v>10</v>
      </c>
      <c r="N34" s="1"/>
      <c r="O34" s="1"/>
      <c r="P34" s="1"/>
      <c r="Q34" s="1" t="s">
        <v>73</v>
      </c>
      <c r="R34" s="1" t="s">
        <v>73</v>
      </c>
      <c r="S34" s="1" t="s">
        <v>73</v>
      </c>
      <c r="T34" s="1"/>
      <c r="U34" s="1"/>
      <c r="V34" s="1"/>
      <c r="W34" s="1"/>
      <c r="X34" s="1"/>
      <c r="Y34" s="1"/>
      <c r="Z34" s="1" t="s">
        <v>73</v>
      </c>
      <c r="AA34" s="1" t="s">
        <v>73</v>
      </c>
      <c r="AC34" s="1">
        <v>5</v>
      </c>
      <c r="AE34" s="1"/>
      <c r="AF34" s="1"/>
      <c r="AG34">
        <v>5</v>
      </c>
      <c r="AK34" s="1" t="s">
        <v>72</v>
      </c>
      <c r="AL34" s="1" t="s">
        <v>72</v>
      </c>
      <c r="AM34" s="1">
        <v>3</v>
      </c>
      <c r="AN34" s="1" t="s">
        <v>72</v>
      </c>
      <c r="AO34" s="1">
        <v>3</v>
      </c>
      <c r="AP34" s="1" t="s">
        <v>73</v>
      </c>
      <c r="AR34" s="1" t="s">
        <v>73</v>
      </c>
      <c r="AT34" t="s">
        <v>73</v>
      </c>
      <c r="AW34" s="1">
        <v>70</v>
      </c>
      <c r="AX34" s="1">
        <v>5</v>
      </c>
      <c r="AY34" s="1" t="s">
        <v>72</v>
      </c>
      <c r="AZ34" s="1" t="s">
        <v>73</v>
      </c>
      <c r="BA34" s="126" t="s">
        <v>73</v>
      </c>
      <c r="BB34" s="1">
        <v>1874</v>
      </c>
      <c r="BC34" s="100">
        <v>45645.469895833332</v>
      </c>
      <c r="BD34" s="85">
        <v>45645.428229166668</v>
      </c>
      <c r="BE34" s="1" t="s">
        <v>73</v>
      </c>
      <c r="BF34" s="1" t="s">
        <v>73</v>
      </c>
      <c r="BG34" s="1" t="s">
        <v>73</v>
      </c>
      <c r="BH34" s="1" t="s">
        <v>73</v>
      </c>
      <c r="BI34" s="1" t="s">
        <v>73</v>
      </c>
      <c r="BJ34" s="1" t="s">
        <v>73</v>
      </c>
      <c r="BK34" s="1"/>
      <c r="BL34" s="1" t="s">
        <v>73</v>
      </c>
      <c r="BM34" s="1" t="s">
        <v>73</v>
      </c>
      <c r="BN34" s="1" t="s">
        <v>73</v>
      </c>
      <c r="BO34" s="1" t="s">
        <v>73</v>
      </c>
      <c r="BP34" s="1" t="s">
        <v>73</v>
      </c>
      <c r="BQ34" s="1" t="s">
        <v>73</v>
      </c>
      <c r="BR34" s="1"/>
      <c r="BS34" s="1" t="s">
        <v>73</v>
      </c>
      <c r="BT34" s="1" t="s">
        <v>369</v>
      </c>
      <c r="BU34" s="1" t="s">
        <v>369</v>
      </c>
      <c r="BV34" s="1" t="s">
        <v>369</v>
      </c>
      <c r="BW34" s="1"/>
      <c r="BX34" s="1"/>
      <c r="BY34" s="1"/>
      <c r="BZ34" s="1"/>
      <c r="CA34" s="1"/>
      <c r="CB34" s="1"/>
      <c r="CC34" s="1"/>
      <c r="CD34" s="1"/>
      <c r="CE34" s="1"/>
      <c r="CF34" s="1"/>
      <c r="CG34" s="1"/>
      <c r="DC34" s="5"/>
      <c r="DD34" s="5"/>
      <c r="DI34" s="61"/>
      <c r="DL34"/>
      <c r="DM34"/>
      <c r="DN34"/>
      <c r="DO34"/>
      <c r="DP34"/>
      <c r="DQ34"/>
      <c r="DR34"/>
      <c r="DS34"/>
      <c r="DT34"/>
      <c r="DU34"/>
      <c r="DV34"/>
      <c r="DW34"/>
      <c r="EC34" s="1"/>
      <c r="ED34" s="1"/>
      <c r="EE34" s="1"/>
      <c r="EF34" s="1"/>
      <c r="EG34" s="1"/>
      <c r="EH34" s="1"/>
      <c r="EI34" s="1"/>
      <c r="EJ34" s="1"/>
      <c r="EO34"/>
      <c r="EP34"/>
      <c r="EQ34"/>
      <c r="ER34"/>
      <c r="ES34"/>
      <c r="ET34"/>
      <c r="EU34"/>
      <c r="EV34"/>
    </row>
    <row r="35" spans="1:152" ht="16" x14ac:dyDescent="0.2">
      <c r="A35" t="s">
        <v>138</v>
      </c>
      <c r="B35" t="s">
        <v>237</v>
      </c>
      <c r="C35" t="s">
        <v>238</v>
      </c>
      <c r="D35" s="1" t="s">
        <v>73</v>
      </c>
      <c r="E35" s="1" t="s">
        <v>72</v>
      </c>
      <c r="F35" s="1" t="s">
        <v>72</v>
      </c>
      <c r="G35" s="1" t="s">
        <v>73</v>
      </c>
      <c r="H35" s="1"/>
      <c r="I35" s="1">
        <v>4</v>
      </c>
      <c r="N35" s="1"/>
      <c r="O35" s="1"/>
      <c r="P35" s="1"/>
      <c r="Q35" s="1" t="s">
        <v>73</v>
      </c>
      <c r="R35" s="1" t="s">
        <v>73</v>
      </c>
      <c r="S35" s="1" t="s">
        <v>73</v>
      </c>
      <c r="T35" s="1"/>
      <c r="U35" s="1"/>
      <c r="V35" s="1"/>
      <c r="W35" s="1"/>
      <c r="X35" s="1"/>
      <c r="Y35" s="1"/>
      <c r="Z35" s="1" t="s">
        <v>73</v>
      </c>
      <c r="AA35" s="1" t="s">
        <v>73</v>
      </c>
      <c r="AC35" s="1"/>
      <c r="AE35" s="1">
        <v>1</v>
      </c>
      <c r="AF35" s="1"/>
      <c r="AI35">
        <v>1</v>
      </c>
      <c r="AK35" s="1" t="s">
        <v>73</v>
      </c>
      <c r="AL35" s="1" t="s">
        <v>72</v>
      </c>
      <c r="AM35" s="1">
        <v>6</v>
      </c>
      <c r="AN35" s="1" t="s">
        <v>72</v>
      </c>
      <c r="AO35" s="1">
        <v>6</v>
      </c>
      <c r="AP35" s="1" t="s">
        <v>73</v>
      </c>
      <c r="AR35" s="1" t="s">
        <v>72</v>
      </c>
      <c r="AS35" s="1">
        <v>6</v>
      </c>
      <c r="AT35" t="s">
        <v>73</v>
      </c>
      <c r="AW35" s="1">
        <v>6</v>
      </c>
      <c r="AX35" s="1">
        <v>0</v>
      </c>
      <c r="AY35" s="1" t="s">
        <v>73</v>
      </c>
      <c r="AZ35" s="1" t="s">
        <v>73</v>
      </c>
      <c r="BA35" s="126" t="s">
        <v>73</v>
      </c>
      <c r="BB35" s="1">
        <v>1870</v>
      </c>
      <c r="BC35" s="100">
        <v>45645.403946759259</v>
      </c>
      <c r="BD35" s="85">
        <v>45645.362280092595</v>
      </c>
      <c r="BE35" s="1" t="s">
        <v>73</v>
      </c>
      <c r="BF35" s="1" t="s">
        <v>73</v>
      </c>
      <c r="BG35" s="1" t="s">
        <v>73</v>
      </c>
      <c r="BH35" s="1" t="s">
        <v>73</v>
      </c>
      <c r="BI35" s="1" t="s">
        <v>73</v>
      </c>
      <c r="BJ35" s="1" t="s">
        <v>73</v>
      </c>
      <c r="BK35" s="1"/>
      <c r="BL35" s="1" t="s">
        <v>73</v>
      </c>
      <c r="BM35" s="1" t="s">
        <v>73</v>
      </c>
      <c r="BN35" s="1" t="s">
        <v>73</v>
      </c>
      <c r="BO35" s="1" t="s">
        <v>73</v>
      </c>
      <c r="BP35" s="1" t="s">
        <v>73</v>
      </c>
      <c r="BQ35" s="1" t="s">
        <v>73</v>
      </c>
      <c r="BR35" s="1"/>
      <c r="BS35" s="1" t="s">
        <v>73</v>
      </c>
      <c r="BT35" s="1" t="s">
        <v>369</v>
      </c>
      <c r="BU35" s="1" t="s">
        <v>369</v>
      </c>
      <c r="BV35" s="1" t="s">
        <v>369</v>
      </c>
      <c r="BW35" s="1"/>
      <c r="BX35" s="1"/>
      <c r="BY35" s="1"/>
      <c r="BZ35" s="1"/>
      <c r="CA35" s="1"/>
      <c r="CB35" s="1"/>
      <c r="CC35" s="1"/>
      <c r="CD35" s="1"/>
      <c r="CE35" s="1"/>
      <c r="CF35" s="1"/>
      <c r="CG35" s="1"/>
      <c r="DC35" s="5"/>
      <c r="DD35" s="5"/>
      <c r="DI35" s="61"/>
      <c r="DL35"/>
      <c r="DM35"/>
      <c r="DN35"/>
      <c r="DO35"/>
      <c r="DP35"/>
      <c r="DQ35"/>
      <c r="DR35"/>
      <c r="DS35"/>
      <c r="DT35"/>
      <c r="DU35"/>
      <c r="DV35"/>
      <c r="DW35"/>
      <c r="EC35" s="1"/>
      <c r="ED35" s="1"/>
      <c r="EE35" s="1"/>
      <c r="EF35" s="1"/>
      <c r="EG35" s="1"/>
      <c r="EH35" s="1"/>
      <c r="EI35" s="1"/>
      <c r="EJ35" s="1"/>
      <c r="EO35"/>
      <c r="EP35"/>
      <c r="EQ35"/>
      <c r="ER35"/>
      <c r="ES35"/>
      <c r="ET35"/>
      <c r="EU35"/>
      <c r="EV35"/>
    </row>
    <row r="36" spans="1:152" ht="16" x14ac:dyDescent="0.2">
      <c r="A36" t="s">
        <v>138</v>
      </c>
      <c r="B36" t="s">
        <v>212</v>
      </c>
      <c r="C36" t="s">
        <v>213</v>
      </c>
      <c r="D36" s="1" t="s">
        <v>73</v>
      </c>
      <c r="E36" s="1" t="s">
        <v>72</v>
      </c>
      <c r="F36" s="1" t="s">
        <v>72</v>
      </c>
      <c r="G36" s="1" t="s">
        <v>73</v>
      </c>
      <c r="H36" s="1"/>
      <c r="I36" s="1">
        <v>6</v>
      </c>
      <c r="N36" s="1"/>
      <c r="O36" s="1"/>
      <c r="P36" s="1"/>
      <c r="Q36" s="1" t="s">
        <v>73</v>
      </c>
      <c r="R36" s="1" t="s">
        <v>73</v>
      </c>
      <c r="S36" s="1" t="s">
        <v>73</v>
      </c>
      <c r="T36" s="1"/>
      <c r="U36" s="1"/>
      <c r="V36" s="1"/>
      <c r="W36" s="1"/>
      <c r="X36" s="1"/>
      <c r="Y36" s="1"/>
      <c r="Z36" s="1" t="s">
        <v>72</v>
      </c>
      <c r="AA36" s="1" t="s">
        <v>73</v>
      </c>
      <c r="AC36" s="1"/>
      <c r="AE36" s="1"/>
      <c r="AF36" s="1"/>
      <c r="AK36" s="1" t="s">
        <v>73</v>
      </c>
      <c r="AL36" s="1" t="s">
        <v>72</v>
      </c>
      <c r="AM36" s="1">
        <v>6</v>
      </c>
      <c r="AN36" s="1" t="s">
        <v>72</v>
      </c>
      <c r="AO36" s="1">
        <v>6</v>
      </c>
      <c r="AP36" s="1" t="s">
        <v>73</v>
      </c>
      <c r="AR36" s="1" t="s">
        <v>72</v>
      </c>
      <c r="AS36" s="1">
        <v>6</v>
      </c>
      <c r="AT36" t="s">
        <v>73</v>
      </c>
      <c r="AW36" s="1">
        <v>40</v>
      </c>
      <c r="AX36" s="1">
        <v>2</v>
      </c>
      <c r="AY36" s="1" t="s">
        <v>72</v>
      </c>
      <c r="AZ36" s="1" t="s">
        <v>73</v>
      </c>
      <c r="BA36" s="126" t="s">
        <v>73</v>
      </c>
      <c r="BB36" s="1">
        <v>1858</v>
      </c>
      <c r="BC36" s="100">
        <v>45643.915798611109</v>
      </c>
      <c r="BD36" s="85">
        <v>45643.874131944445</v>
      </c>
      <c r="BE36" s="1" t="s">
        <v>213</v>
      </c>
      <c r="BF36" s="1" t="s">
        <v>78</v>
      </c>
      <c r="BG36" s="1" t="s">
        <v>215</v>
      </c>
      <c r="BH36" s="1" t="s">
        <v>216</v>
      </c>
      <c r="BI36" s="1" t="s">
        <v>217</v>
      </c>
      <c r="BJ36" s="1" t="s">
        <v>218</v>
      </c>
      <c r="BK36" s="1">
        <v>10</v>
      </c>
      <c r="BL36" s="1" t="s">
        <v>73</v>
      </c>
      <c r="BM36" s="1" t="s">
        <v>73</v>
      </c>
      <c r="BN36" s="1" t="s">
        <v>73</v>
      </c>
      <c r="BO36" s="1" t="s">
        <v>73</v>
      </c>
      <c r="BP36" s="1" t="s">
        <v>73</v>
      </c>
      <c r="BQ36" s="1" t="s">
        <v>73</v>
      </c>
      <c r="BR36" s="1"/>
      <c r="BS36" s="1" t="s">
        <v>73</v>
      </c>
      <c r="BT36" s="1" t="s">
        <v>369</v>
      </c>
      <c r="BU36" s="1" t="s">
        <v>369</v>
      </c>
      <c r="BV36" s="1" t="s">
        <v>369</v>
      </c>
      <c r="BW36" s="1"/>
      <c r="BX36" s="1"/>
      <c r="BY36" s="1"/>
      <c r="BZ36" s="1"/>
      <c r="CA36" s="1"/>
      <c r="CB36" s="1"/>
      <c r="CC36" s="1"/>
      <c r="CD36" s="1"/>
      <c r="CE36" s="1"/>
      <c r="CF36" s="1"/>
      <c r="CG36" s="1"/>
      <c r="DC36" s="5"/>
      <c r="DD36" s="5"/>
      <c r="DI36" s="61"/>
      <c r="DL36"/>
      <c r="DM36"/>
      <c r="DN36"/>
      <c r="DO36"/>
      <c r="DP36"/>
      <c r="DQ36"/>
      <c r="DR36"/>
      <c r="DS36"/>
      <c r="DT36"/>
      <c r="DU36"/>
      <c r="DV36"/>
      <c r="DW36"/>
      <c r="EC36" s="1"/>
      <c r="ED36" s="1"/>
      <c r="EE36" s="1"/>
      <c r="EF36" s="1"/>
      <c r="EG36" s="1"/>
      <c r="EH36" s="1"/>
      <c r="EI36" s="1"/>
      <c r="EJ36" s="1"/>
      <c r="EO36"/>
      <c r="EP36"/>
      <c r="EQ36"/>
      <c r="ER36"/>
      <c r="ES36"/>
      <c r="ET36"/>
      <c r="EU36"/>
      <c r="EV36"/>
    </row>
    <row r="37" spans="1:152" ht="16" x14ac:dyDescent="0.2">
      <c r="A37" t="s">
        <v>138</v>
      </c>
      <c r="B37" t="s">
        <v>186</v>
      </c>
      <c r="C37" t="s">
        <v>187</v>
      </c>
      <c r="D37" s="1" t="s">
        <v>73</v>
      </c>
      <c r="E37" s="1" t="s">
        <v>72</v>
      </c>
      <c r="F37" s="1" t="s">
        <v>73</v>
      </c>
      <c r="G37" s="1" t="s">
        <v>72</v>
      </c>
      <c r="H37" s="1" t="s">
        <v>74</v>
      </c>
      <c r="I37" s="1">
        <v>6</v>
      </c>
      <c r="N37" s="1"/>
      <c r="O37" s="1"/>
      <c r="P37" s="1"/>
      <c r="Q37" s="1" t="s">
        <v>73</v>
      </c>
      <c r="R37" s="1" t="s">
        <v>73</v>
      </c>
      <c r="S37" s="1" t="s">
        <v>73</v>
      </c>
      <c r="T37" s="1">
        <v>1</v>
      </c>
      <c r="U37" s="1"/>
      <c r="V37" s="1"/>
      <c r="W37" s="1">
        <v>1</v>
      </c>
      <c r="X37" s="1"/>
      <c r="Y37" s="1"/>
      <c r="Z37" s="1" t="s">
        <v>73</v>
      </c>
      <c r="AA37" s="1" t="s">
        <v>73</v>
      </c>
      <c r="AB37">
        <v>4</v>
      </c>
      <c r="AC37" s="1">
        <v>5</v>
      </c>
      <c r="AE37" s="1"/>
      <c r="AF37" s="1"/>
      <c r="AG37">
        <v>5</v>
      </c>
      <c r="AK37" s="1" t="s">
        <v>73</v>
      </c>
      <c r="AL37" s="1" t="s">
        <v>73</v>
      </c>
      <c r="AN37" s="1" t="s">
        <v>73</v>
      </c>
      <c r="AP37" s="1" t="s">
        <v>73</v>
      </c>
      <c r="AR37" s="1" t="s">
        <v>73</v>
      </c>
      <c r="AT37" t="s">
        <v>73</v>
      </c>
      <c r="AW37" s="1">
        <v>90</v>
      </c>
      <c r="AX37" s="1">
        <v>20</v>
      </c>
      <c r="AY37" s="1" t="s">
        <v>72</v>
      </c>
      <c r="AZ37" s="1" t="s">
        <v>73</v>
      </c>
      <c r="BA37" s="126" t="s">
        <v>73</v>
      </c>
      <c r="BB37" s="1">
        <v>1849</v>
      </c>
      <c r="BC37" s="100">
        <v>45642.826678240737</v>
      </c>
      <c r="BD37" s="85">
        <v>45642.785011574073</v>
      </c>
      <c r="BE37" s="1" t="s">
        <v>73</v>
      </c>
      <c r="BF37" s="1" t="s">
        <v>73</v>
      </c>
      <c r="BG37" s="1" t="s">
        <v>73</v>
      </c>
      <c r="BH37" s="1" t="s">
        <v>73</v>
      </c>
      <c r="BI37" s="1" t="s">
        <v>73</v>
      </c>
      <c r="BJ37" s="1" t="s">
        <v>73</v>
      </c>
      <c r="BK37" s="1"/>
      <c r="BL37" s="1" t="s">
        <v>73</v>
      </c>
      <c r="BM37" s="1" t="s">
        <v>73</v>
      </c>
      <c r="BN37" s="1" t="s">
        <v>73</v>
      </c>
      <c r="BO37" s="1" t="s">
        <v>73</v>
      </c>
      <c r="BP37" s="1" t="s">
        <v>73</v>
      </c>
      <c r="BQ37" s="1" t="s">
        <v>73</v>
      </c>
      <c r="BR37" s="1"/>
      <c r="BS37" s="1" t="s">
        <v>75</v>
      </c>
      <c r="BT37" s="1" t="s">
        <v>382</v>
      </c>
      <c r="BU37" s="1" t="s">
        <v>374</v>
      </c>
      <c r="BV37" s="1" t="s">
        <v>383</v>
      </c>
      <c r="BW37" s="1">
        <v>8</v>
      </c>
      <c r="BX37" s="1"/>
      <c r="BY37" s="1"/>
      <c r="BZ37" s="1"/>
      <c r="CA37" s="1"/>
      <c r="CB37" s="1"/>
      <c r="CC37" s="1"/>
      <c r="CD37" s="1"/>
      <c r="CE37" s="1"/>
      <c r="CF37" s="1"/>
      <c r="CG37" s="1"/>
      <c r="DC37" s="5"/>
      <c r="DD37" s="5"/>
      <c r="DI37" s="61"/>
      <c r="DL37"/>
      <c r="DM37"/>
      <c r="DN37"/>
      <c r="DO37"/>
      <c r="DP37"/>
      <c r="DQ37"/>
      <c r="DR37"/>
      <c r="DS37"/>
      <c r="DT37"/>
      <c r="DU37"/>
      <c r="DV37"/>
      <c r="DW37"/>
      <c r="EC37" s="1"/>
      <c r="ED37" s="1"/>
      <c r="EE37" s="1"/>
      <c r="EF37" s="1"/>
      <c r="EG37" s="1"/>
      <c r="EH37" s="1"/>
      <c r="EI37" s="1"/>
      <c r="EJ37" s="1"/>
      <c r="EO37"/>
      <c r="EP37"/>
      <c r="EQ37"/>
      <c r="ER37"/>
      <c r="ES37"/>
      <c r="ET37"/>
      <c r="EU37"/>
      <c r="EV37"/>
    </row>
    <row r="38" spans="1:152" ht="16" x14ac:dyDescent="0.2">
      <c r="A38" t="s">
        <v>138</v>
      </c>
      <c r="B38" t="s">
        <v>210</v>
      </c>
      <c r="C38" t="s">
        <v>211</v>
      </c>
      <c r="D38" s="1" t="s">
        <v>73</v>
      </c>
      <c r="E38" s="1" t="s">
        <v>72</v>
      </c>
      <c r="F38" s="1" t="s">
        <v>72</v>
      </c>
      <c r="G38" s="1" t="s">
        <v>73</v>
      </c>
      <c r="H38" s="1"/>
      <c r="I38" s="1">
        <v>5</v>
      </c>
      <c r="J38">
        <v>3</v>
      </c>
      <c r="N38" s="1">
        <v>4</v>
      </c>
      <c r="O38" s="1"/>
      <c r="P38" s="1"/>
      <c r="Q38" s="1" t="s">
        <v>73</v>
      </c>
      <c r="R38" s="1" t="s">
        <v>73</v>
      </c>
      <c r="S38" s="1" t="s">
        <v>73</v>
      </c>
      <c r="T38" s="1">
        <v>3</v>
      </c>
      <c r="U38" s="1">
        <v>1</v>
      </c>
      <c r="V38" s="1"/>
      <c r="W38" s="1">
        <v>3</v>
      </c>
      <c r="X38" s="1">
        <v>1</v>
      </c>
      <c r="Y38" s="1"/>
      <c r="Z38" s="1" t="s">
        <v>72</v>
      </c>
      <c r="AA38" s="1" t="s">
        <v>73</v>
      </c>
      <c r="AC38" s="1"/>
      <c r="AE38" s="1"/>
      <c r="AF38" s="1"/>
      <c r="AK38" s="1" t="s">
        <v>72</v>
      </c>
      <c r="AL38" s="1" t="s">
        <v>73</v>
      </c>
      <c r="AN38" s="1" t="s">
        <v>73</v>
      </c>
      <c r="AP38" s="1" t="s">
        <v>73</v>
      </c>
      <c r="AR38" s="1" t="s">
        <v>73</v>
      </c>
      <c r="AT38" t="s">
        <v>73</v>
      </c>
      <c r="AW38" s="1">
        <v>32</v>
      </c>
      <c r="AX38" s="1">
        <v>7</v>
      </c>
      <c r="AY38" s="1" t="s">
        <v>73</v>
      </c>
      <c r="AZ38" s="1" t="s">
        <v>73</v>
      </c>
      <c r="BA38" s="126" t="s">
        <v>73</v>
      </c>
      <c r="BB38" s="1">
        <v>1848</v>
      </c>
      <c r="BC38" s="100">
        <v>45642.813136574077</v>
      </c>
      <c r="BD38" s="85">
        <v>45642.771469907406</v>
      </c>
      <c r="BE38" s="1" t="s">
        <v>211</v>
      </c>
      <c r="BF38" s="1" t="s">
        <v>219</v>
      </c>
      <c r="BG38" s="1" t="s">
        <v>215</v>
      </c>
      <c r="BH38" s="1" t="s">
        <v>216</v>
      </c>
      <c r="BI38" s="1" t="s">
        <v>220</v>
      </c>
      <c r="BJ38" s="1" t="s">
        <v>221</v>
      </c>
      <c r="BK38" s="1">
        <v>20</v>
      </c>
      <c r="BL38" s="1" t="s">
        <v>73</v>
      </c>
      <c r="BM38" s="1" t="s">
        <v>73</v>
      </c>
      <c r="BN38" s="1" t="s">
        <v>73</v>
      </c>
      <c r="BO38" s="1" t="s">
        <v>73</v>
      </c>
      <c r="BP38" s="1" t="s">
        <v>73</v>
      </c>
      <c r="BQ38" s="1" t="s">
        <v>73</v>
      </c>
      <c r="BR38" s="1"/>
      <c r="BS38" s="1" t="s">
        <v>73</v>
      </c>
      <c r="BT38" s="1" t="s">
        <v>369</v>
      </c>
      <c r="BU38" s="1" t="s">
        <v>369</v>
      </c>
      <c r="BV38" s="1" t="s">
        <v>369</v>
      </c>
      <c r="BW38" s="1"/>
      <c r="BX38" s="1"/>
      <c r="BY38" s="1"/>
      <c r="BZ38" s="1"/>
      <c r="CA38" s="1"/>
      <c r="CB38" s="1"/>
      <c r="CC38" s="1"/>
      <c r="CD38" s="1"/>
      <c r="CE38" s="1"/>
      <c r="CF38" s="1"/>
      <c r="CG38" s="1"/>
      <c r="DC38" s="5"/>
      <c r="DD38" s="5"/>
      <c r="DI38" s="61"/>
      <c r="DL38"/>
      <c r="DM38"/>
      <c r="DN38"/>
      <c r="DO38"/>
      <c r="DP38"/>
      <c r="DQ38"/>
      <c r="DR38"/>
      <c r="DS38"/>
      <c r="DT38"/>
      <c r="DU38"/>
      <c r="DV38"/>
      <c r="DW38"/>
      <c r="EC38" s="1"/>
      <c r="ED38" s="1"/>
      <c r="EE38" s="1"/>
      <c r="EF38" s="1"/>
      <c r="EG38" s="1"/>
      <c r="EH38" s="1"/>
      <c r="EI38" s="1"/>
      <c r="EJ38" s="1"/>
      <c r="EO38"/>
      <c r="EP38"/>
      <c r="EQ38"/>
      <c r="ER38"/>
      <c r="ES38"/>
      <c r="ET38"/>
      <c r="EU38"/>
      <c r="EV38"/>
    </row>
    <row r="39" spans="1:152" ht="16" x14ac:dyDescent="0.2">
      <c r="A39" t="s">
        <v>138</v>
      </c>
      <c r="B39" t="s">
        <v>203</v>
      </c>
      <c r="C39" t="s">
        <v>204</v>
      </c>
      <c r="D39" s="1" t="s">
        <v>73</v>
      </c>
      <c r="E39" s="1" t="s">
        <v>73</v>
      </c>
      <c r="F39" s="1" t="s">
        <v>73</v>
      </c>
      <c r="G39" s="1" t="s">
        <v>73</v>
      </c>
      <c r="H39" s="1"/>
      <c r="I39" s="1"/>
      <c r="N39" s="1"/>
      <c r="O39" s="1"/>
      <c r="P39" s="1"/>
      <c r="Q39" s="1" t="s">
        <v>73</v>
      </c>
      <c r="R39" s="1" t="s">
        <v>73</v>
      </c>
      <c r="S39" s="1" t="s">
        <v>73</v>
      </c>
      <c r="T39" s="1"/>
      <c r="U39" s="1"/>
      <c r="V39" s="1"/>
      <c r="W39" s="1"/>
      <c r="X39" s="1"/>
      <c r="Y39" s="1"/>
      <c r="Z39" s="1" t="s">
        <v>73</v>
      </c>
      <c r="AA39" s="1" t="s">
        <v>73</v>
      </c>
      <c r="AC39" s="1"/>
      <c r="AE39" s="1"/>
      <c r="AF39" s="1"/>
      <c r="AK39" s="1" t="s">
        <v>73</v>
      </c>
      <c r="AL39" s="1" t="s">
        <v>72</v>
      </c>
      <c r="AM39" s="1">
        <v>4</v>
      </c>
      <c r="AN39" s="1" t="s">
        <v>72</v>
      </c>
      <c r="AO39" s="1">
        <v>4</v>
      </c>
      <c r="AP39" s="1" t="s">
        <v>73</v>
      </c>
      <c r="AR39" s="1" t="s">
        <v>72</v>
      </c>
      <c r="AS39" s="1">
        <v>4</v>
      </c>
      <c r="AT39" t="s">
        <v>73</v>
      </c>
      <c r="AW39" s="1">
        <v>30</v>
      </c>
      <c r="AX39" s="1">
        <v>2</v>
      </c>
      <c r="AY39" s="1" t="s">
        <v>72</v>
      </c>
      <c r="AZ39" s="1" t="s">
        <v>73</v>
      </c>
      <c r="BA39" s="126" t="s">
        <v>73</v>
      </c>
      <c r="BB39" s="1">
        <v>1844</v>
      </c>
      <c r="BC39" s="100">
        <v>45642.667673611111</v>
      </c>
      <c r="BD39" s="85">
        <v>45642.626006944447</v>
      </c>
      <c r="BE39" s="1" t="s">
        <v>73</v>
      </c>
      <c r="BF39" s="1" t="s">
        <v>73</v>
      </c>
      <c r="BG39" s="1" t="s">
        <v>73</v>
      </c>
      <c r="BH39" s="1" t="s">
        <v>73</v>
      </c>
      <c r="BI39" s="1" t="s">
        <v>73</v>
      </c>
      <c r="BJ39" s="1" t="s">
        <v>73</v>
      </c>
      <c r="BK39" s="1"/>
      <c r="BL39" s="1" t="s">
        <v>73</v>
      </c>
      <c r="BM39" s="1" t="s">
        <v>73</v>
      </c>
      <c r="BN39" s="1" t="s">
        <v>73</v>
      </c>
      <c r="BO39" s="1" t="s">
        <v>73</v>
      </c>
      <c r="BP39" s="1" t="s">
        <v>73</v>
      </c>
      <c r="BQ39" s="1" t="s">
        <v>73</v>
      </c>
      <c r="BR39" s="1"/>
      <c r="BS39" s="1" t="s">
        <v>73</v>
      </c>
      <c r="BT39" s="1" t="s">
        <v>369</v>
      </c>
      <c r="BU39" s="1" t="s">
        <v>369</v>
      </c>
      <c r="BV39" s="1" t="s">
        <v>369</v>
      </c>
      <c r="BW39" s="1"/>
    </row>
    <row r="40" spans="1:152" ht="16" x14ac:dyDescent="0.2">
      <c r="A40" t="s">
        <v>138</v>
      </c>
      <c r="B40" t="s">
        <v>153</v>
      </c>
      <c r="C40" t="s">
        <v>154</v>
      </c>
      <c r="D40" s="1" t="s">
        <v>73</v>
      </c>
      <c r="E40" s="1" t="s">
        <v>72</v>
      </c>
      <c r="F40" s="1" t="s">
        <v>73</v>
      </c>
      <c r="G40" s="1" t="s">
        <v>73</v>
      </c>
      <c r="H40" s="1"/>
      <c r="I40" s="1"/>
      <c r="N40" s="1"/>
      <c r="O40" s="1"/>
      <c r="P40" s="1"/>
      <c r="Q40" s="1" t="s">
        <v>73</v>
      </c>
      <c r="R40" s="1" t="s">
        <v>73</v>
      </c>
      <c r="S40" s="1" t="s">
        <v>73</v>
      </c>
      <c r="T40" s="1"/>
      <c r="U40" s="1"/>
      <c r="V40" s="1"/>
      <c r="W40" s="1"/>
      <c r="X40" s="1"/>
      <c r="Y40" s="1"/>
      <c r="Z40" s="1" t="s">
        <v>73</v>
      </c>
      <c r="AA40" s="1" t="s">
        <v>73</v>
      </c>
      <c r="AC40" s="1">
        <v>5</v>
      </c>
      <c r="AE40" s="1"/>
      <c r="AF40" s="1"/>
      <c r="AG40">
        <v>4</v>
      </c>
      <c r="AK40" s="1" t="s">
        <v>73</v>
      </c>
      <c r="AL40" s="1" t="s">
        <v>73</v>
      </c>
      <c r="AN40" s="1" t="s">
        <v>73</v>
      </c>
      <c r="AP40" s="1" t="s">
        <v>73</v>
      </c>
      <c r="AR40" s="1" t="s">
        <v>73</v>
      </c>
      <c r="AT40" t="s">
        <v>73</v>
      </c>
      <c r="AW40" s="1">
        <v>35</v>
      </c>
      <c r="AX40" s="1">
        <v>10</v>
      </c>
      <c r="AY40" s="1" t="s">
        <v>72</v>
      </c>
      <c r="AZ40" s="1" t="s">
        <v>73</v>
      </c>
      <c r="BA40" s="126" t="s">
        <v>73</v>
      </c>
      <c r="BB40" s="1">
        <v>1838</v>
      </c>
      <c r="BC40" s="100">
        <v>45641.533518518518</v>
      </c>
      <c r="BD40" s="85">
        <v>45641.491851851853</v>
      </c>
      <c r="BE40" s="1" t="s">
        <v>73</v>
      </c>
      <c r="BF40" s="1" t="s">
        <v>73</v>
      </c>
      <c r="BG40" s="1" t="s">
        <v>73</v>
      </c>
      <c r="BH40" s="1" t="s">
        <v>73</v>
      </c>
      <c r="BI40" s="1" t="s">
        <v>73</v>
      </c>
      <c r="BJ40" s="1" t="s">
        <v>73</v>
      </c>
      <c r="BK40" s="1"/>
      <c r="BL40" s="1" t="s">
        <v>73</v>
      </c>
      <c r="BM40" s="1" t="s">
        <v>73</v>
      </c>
      <c r="BN40" s="1" t="s">
        <v>73</v>
      </c>
      <c r="BO40" s="1" t="s">
        <v>73</v>
      </c>
      <c r="BP40" s="1" t="s">
        <v>73</v>
      </c>
      <c r="BQ40" s="1" t="s">
        <v>73</v>
      </c>
      <c r="BR40" s="1"/>
      <c r="BS40" s="1" t="s">
        <v>73</v>
      </c>
      <c r="BT40" s="1" t="s">
        <v>369</v>
      </c>
      <c r="BU40" s="1" t="s">
        <v>369</v>
      </c>
      <c r="BV40" s="1" t="s">
        <v>369</v>
      </c>
      <c r="BW40" s="1"/>
    </row>
    <row r="41" spans="1:152" ht="16" x14ac:dyDescent="0.2">
      <c r="A41" t="s">
        <v>138</v>
      </c>
      <c r="B41" t="s">
        <v>172</v>
      </c>
      <c r="C41" t="s">
        <v>168</v>
      </c>
      <c r="D41" s="1" t="s">
        <v>73</v>
      </c>
      <c r="E41" s="1" t="s">
        <v>72</v>
      </c>
      <c r="F41" s="1" t="s">
        <v>72</v>
      </c>
      <c r="G41" s="1" t="s">
        <v>73</v>
      </c>
      <c r="H41" s="1" t="s">
        <v>72</v>
      </c>
      <c r="I41" s="1">
        <v>10</v>
      </c>
      <c r="J41">
        <v>3</v>
      </c>
      <c r="L41">
        <v>6</v>
      </c>
      <c r="N41" s="1"/>
      <c r="O41" s="1"/>
      <c r="P41" s="1"/>
      <c r="Q41" s="1" t="s">
        <v>73</v>
      </c>
      <c r="R41" s="1" t="s">
        <v>73</v>
      </c>
      <c r="S41" s="1" t="s">
        <v>73</v>
      </c>
      <c r="T41" s="1"/>
      <c r="U41" s="1"/>
      <c r="V41" s="1"/>
      <c r="W41" s="1"/>
      <c r="X41" s="1"/>
      <c r="Y41" s="1"/>
      <c r="Z41" s="1" t="s">
        <v>73</v>
      </c>
      <c r="AA41" s="1" t="s">
        <v>73</v>
      </c>
      <c r="AB41">
        <v>1</v>
      </c>
      <c r="AC41" s="1">
        <v>11</v>
      </c>
      <c r="AE41" s="1"/>
      <c r="AF41" s="1">
        <v>4</v>
      </c>
      <c r="AG41">
        <v>11</v>
      </c>
      <c r="AJ41">
        <v>4</v>
      </c>
      <c r="AK41" s="1" t="s">
        <v>73</v>
      </c>
      <c r="AL41" s="1" t="s">
        <v>73</v>
      </c>
      <c r="AN41" s="1" t="s">
        <v>73</v>
      </c>
      <c r="AP41" s="1" t="s">
        <v>73</v>
      </c>
      <c r="AR41" s="1" t="s">
        <v>73</v>
      </c>
      <c r="AT41" t="s">
        <v>73</v>
      </c>
      <c r="AW41" s="1">
        <v>105</v>
      </c>
      <c r="AX41" s="1">
        <v>26</v>
      </c>
      <c r="AY41" s="1" t="s">
        <v>73</v>
      </c>
      <c r="AZ41" s="1" t="s">
        <v>73</v>
      </c>
      <c r="BA41" s="126" t="s">
        <v>73</v>
      </c>
      <c r="BB41" s="1">
        <v>1834</v>
      </c>
      <c r="BC41" s="100">
        <v>45639.400671296295</v>
      </c>
      <c r="BD41" s="85">
        <v>45639.35900462963</v>
      </c>
      <c r="BE41" s="1" t="s">
        <v>73</v>
      </c>
      <c r="BF41" s="1" t="s">
        <v>73</v>
      </c>
      <c r="BG41" s="1" t="s">
        <v>73</v>
      </c>
      <c r="BH41" s="1" t="s">
        <v>73</v>
      </c>
      <c r="BI41" s="1" t="s">
        <v>73</v>
      </c>
      <c r="BJ41" s="1" t="s">
        <v>73</v>
      </c>
      <c r="BK41" s="1"/>
      <c r="BL41" s="1" t="s">
        <v>73</v>
      </c>
      <c r="BM41" s="1" t="s">
        <v>73</v>
      </c>
      <c r="BN41" s="1" t="s">
        <v>73</v>
      </c>
      <c r="BO41" s="1" t="s">
        <v>73</v>
      </c>
      <c r="BP41" s="1" t="s">
        <v>73</v>
      </c>
      <c r="BQ41" s="1" t="s">
        <v>73</v>
      </c>
      <c r="BR41" s="1"/>
      <c r="BS41" s="1" t="s">
        <v>169</v>
      </c>
      <c r="BT41" s="1" t="s">
        <v>384</v>
      </c>
      <c r="BU41" s="1" t="s">
        <v>385</v>
      </c>
      <c r="BV41" s="1" t="s">
        <v>386</v>
      </c>
      <c r="BW41" s="1">
        <v>16</v>
      </c>
    </row>
    <row r="42" spans="1:152" ht="48" x14ac:dyDescent="0.2">
      <c r="A42" t="s">
        <v>138</v>
      </c>
      <c r="B42" t="s">
        <v>179</v>
      </c>
      <c r="C42" t="s">
        <v>166</v>
      </c>
      <c r="D42" s="1" t="s">
        <v>73</v>
      </c>
      <c r="E42" s="1" t="s">
        <v>72</v>
      </c>
      <c r="F42" s="1" t="s">
        <v>72</v>
      </c>
      <c r="G42" s="1" t="s">
        <v>73</v>
      </c>
      <c r="H42" s="1"/>
      <c r="I42" s="1"/>
      <c r="L42">
        <v>6</v>
      </c>
      <c r="N42" s="1"/>
      <c r="O42" s="1"/>
      <c r="P42" s="1"/>
      <c r="Q42" s="1" t="s">
        <v>73</v>
      </c>
      <c r="R42" s="1" t="s">
        <v>73</v>
      </c>
      <c r="S42" s="1" t="s">
        <v>73</v>
      </c>
      <c r="T42" s="1"/>
      <c r="U42" s="1">
        <v>1</v>
      </c>
      <c r="V42" s="1">
        <v>5</v>
      </c>
      <c r="W42" s="1"/>
      <c r="X42" s="1">
        <v>1</v>
      </c>
      <c r="Y42" s="1">
        <v>5</v>
      </c>
      <c r="Z42" s="1" t="s">
        <v>72</v>
      </c>
      <c r="AA42" s="1" t="s">
        <v>73</v>
      </c>
      <c r="AC42" s="1"/>
      <c r="AE42" s="1"/>
      <c r="AF42" s="1"/>
      <c r="AK42" s="1" t="s">
        <v>73</v>
      </c>
      <c r="AL42" s="1" t="s">
        <v>73</v>
      </c>
      <c r="AN42" s="1" t="s">
        <v>73</v>
      </c>
      <c r="AP42" s="1" t="s">
        <v>73</v>
      </c>
      <c r="AR42" s="1" t="s">
        <v>73</v>
      </c>
      <c r="AT42" t="s">
        <v>72</v>
      </c>
      <c r="AU42">
        <v>3</v>
      </c>
      <c r="AW42" s="1">
        <v>42</v>
      </c>
      <c r="AX42" s="1">
        <v>42</v>
      </c>
      <c r="AY42" s="1" t="s">
        <v>73</v>
      </c>
      <c r="AZ42" s="1" t="s">
        <v>73</v>
      </c>
      <c r="BA42" s="126" t="s">
        <v>160</v>
      </c>
      <c r="BB42" s="1">
        <v>1830</v>
      </c>
      <c r="BC42" s="100">
        <v>45639.325312499997</v>
      </c>
      <c r="BD42" s="85">
        <v>45639.283645833333</v>
      </c>
      <c r="BE42" s="1" t="s">
        <v>166</v>
      </c>
      <c r="BF42" s="1" t="s">
        <v>78</v>
      </c>
      <c r="BG42" s="1" t="s">
        <v>161</v>
      </c>
      <c r="BH42" s="1" t="s">
        <v>162</v>
      </c>
      <c r="BI42" s="1" t="s">
        <v>171</v>
      </c>
      <c r="BJ42" s="1" t="s">
        <v>171</v>
      </c>
      <c r="BK42" s="1">
        <v>23</v>
      </c>
      <c r="BL42" s="1" t="s">
        <v>73</v>
      </c>
      <c r="BM42" s="1" t="s">
        <v>73</v>
      </c>
      <c r="BN42" s="1" t="s">
        <v>73</v>
      </c>
      <c r="BO42" s="1" t="s">
        <v>73</v>
      </c>
      <c r="BP42" s="1" t="s">
        <v>73</v>
      </c>
      <c r="BQ42" s="1" t="s">
        <v>73</v>
      </c>
      <c r="BR42" s="1"/>
      <c r="BS42" s="1" t="s">
        <v>73</v>
      </c>
      <c r="BT42" s="1" t="s">
        <v>369</v>
      </c>
      <c r="BU42" s="1" t="s">
        <v>369</v>
      </c>
      <c r="BV42" s="1" t="s">
        <v>369</v>
      </c>
      <c r="BW42" s="1"/>
    </row>
    <row r="43" spans="1:152" ht="48" x14ac:dyDescent="0.2">
      <c r="A43" t="s">
        <v>138</v>
      </c>
      <c r="B43" t="s">
        <v>181</v>
      </c>
      <c r="C43" t="s">
        <v>159</v>
      </c>
      <c r="D43" s="1" t="s">
        <v>73</v>
      </c>
      <c r="E43" s="1" t="s">
        <v>72</v>
      </c>
      <c r="F43" s="1" t="s">
        <v>73</v>
      </c>
      <c r="G43" s="1" t="s">
        <v>73</v>
      </c>
      <c r="H43" s="1"/>
      <c r="I43" s="1">
        <v>7</v>
      </c>
      <c r="N43" s="1"/>
      <c r="O43" s="1"/>
      <c r="P43" s="1"/>
      <c r="Q43" s="1" t="s">
        <v>73</v>
      </c>
      <c r="R43" s="1" t="s">
        <v>73</v>
      </c>
      <c r="S43" s="1" t="s">
        <v>73</v>
      </c>
      <c r="T43" s="1">
        <v>1</v>
      </c>
      <c r="U43" s="1"/>
      <c r="V43" s="1"/>
      <c r="W43" s="1">
        <v>1</v>
      </c>
      <c r="X43" s="1"/>
      <c r="Y43" s="1"/>
      <c r="Z43" s="1" t="s">
        <v>72</v>
      </c>
      <c r="AA43" s="1" t="s">
        <v>73</v>
      </c>
      <c r="AC43" s="1"/>
      <c r="AE43" s="1"/>
      <c r="AF43" s="1"/>
      <c r="AK43" s="1" t="s">
        <v>73</v>
      </c>
      <c r="AL43" s="1" t="s">
        <v>72</v>
      </c>
      <c r="AM43" s="1">
        <v>6</v>
      </c>
      <c r="AN43" s="1" t="s">
        <v>72</v>
      </c>
      <c r="AO43" s="1">
        <v>6</v>
      </c>
      <c r="AP43" s="1" t="s">
        <v>73</v>
      </c>
      <c r="AR43" s="1" t="s">
        <v>72</v>
      </c>
      <c r="AS43" s="1">
        <v>6</v>
      </c>
      <c r="AT43" t="s">
        <v>73</v>
      </c>
      <c r="AW43" s="1">
        <v>90</v>
      </c>
      <c r="AX43" s="1">
        <v>0</v>
      </c>
      <c r="AY43" s="1" t="s">
        <v>73</v>
      </c>
      <c r="AZ43" s="1" t="s">
        <v>73</v>
      </c>
      <c r="BA43" s="126" t="s">
        <v>160</v>
      </c>
      <c r="BB43" s="1">
        <v>1826</v>
      </c>
      <c r="BC43" s="100">
        <v>45637.588495370372</v>
      </c>
      <c r="BD43" s="85">
        <v>45637.5468287037</v>
      </c>
      <c r="BE43" s="1" t="s">
        <v>159</v>
      </c>
      <c r="BF43" s="1" t="s">
        <v>78</v>
      </c>
      <c r="BG43" s="1" t="s">
        <v>161</v>
      </c>
      <c r="BH43" s="1" t="s">
        <v>162</v>
      </c>
      <c r="BI43" s="1" t="s">
        <v>163</v>
      </c>
      <c r="BJ43" s="1" t="s">
        <v>163</v>
      </c>
      <c r="BK43" s="1">
        <v>62</v>
      </c>
      <c r="BL43" s="1" t="s">
        <v>73</v>
      </c>
      <c r="BM43" s="1" t="s">
        <v>73</v>
      </c>
      <c r="BN43" s="1" t="s">
        <v>73</v>
      </c>
      <c r="BO43" s="1" t="s">
        <v>73</v>
      </c>
      <c r="BP43" s="1" t="s">
        <v>73</v>
      </c>
      <c r="BQ43" s="1" t="s">
        <v>73</v>
      </c>
      <c r="BR43" s="1"/>
      <c r="BS43" s="1" t="s">
        <v>73</v>
      </c>
      <c r="BT43" s="1" t="s">
        <v>369</v>
      </c>
      <c r="BU43" s="1" t="s">
        <v>369</v>
      </c>
      <c r="BV43" s="1" t="s">
        <v>369</v>
      </c>
      <c r="BW43" s="1"/>
    </row>
    <row r="44" spans="1:152" ht="32" x14ac:dyDescent="0.2">
      <c r="A44" t="s">
        <v>138</v>
      </c>
      <c r="B44" t="s">
        <v>175</v>
      </c>
      <c r="C44" t="s">
        <v>164</v>
      </c>
      <c r="D44" s="1" t="s">
        <v>73</v>
      </c>
      <c r="E44" s="1" t="s">
        <v>72</v>
      </c>
      <c r="F44" s="1" t="s">
        <v>73</v>
      </c>
      <c r="G44" s="1" t="s">
        <v>73</v>
      </c>
      <c r="H44" s="1"/>
      <c r="I44" s="1">
        <v>8</v>
      </c>
      <c r="N44" s="1"/>
      <c r="O44" s="1"/>
      <c r="P44" s="1"/>
      <c r="Q44" s="1" t="s">
        <v>73</v>
      </c>
      <c r="R44" s="1" t="s">
        <v>73</v>
      </c>
      <c r="S44" s="1" t="s">
        <v>73</v>
      </c>
      <c r="T44" s="1"/>
      <c r="U44" s="1"/>
      <c r="V44" s="1"/>
      <c r="W44" s="1"/>
      <c r="X44" s="1"/>
      <c r="Y44" s="1"/>
      <c r="Z44" s="1" t="s">
        <v>73</v>
      </c>
      <c r="AA44" s="1" t="s">
        <v>73</v>
      </c>
      <c r="AC44" s="1"/>
      <c r="AE44" s="1"/>
      <c r="AF44" s="1"/>
      <c r="AK44" s="1" t="s">
        <v>73</v>
      </c>
      <c r="AL44" s="1" t="s">
        <v>73</v>
      </c>
      <c r="AN44" s="1" t="s">
        <v>73</v>
      </c>
      <c r="AP44" s="1" t="s">
        <v>73</v>
      </c>
      <c r="AR44" s="1" t="s">
        <v>73</v>
      </c>
      <c r="AT44" t="s">
        <v>73</v>
      </c>
      <c r="AW44" s="1">
        <v>10</v>
      </c>
      <c r="AX44" s="1">
        <v>0</v>
      </c>
      <c r="AY44" s="1" t="s">
        <v>73</v>
      </c>
      <c r="AZ44" s="1" t="s">
        <v>73</v>
      </c>
      <c r="BA44" s="126" t="s">
        <v>165</v>
      </c>
      <c r="BB44" s="1">
        <v>1822</v>
      </c>
      <c r="BC44" s="100">
        <v>45635.787199074075</v>
      </c>
      <c r="BD44" s="85">
        <v>45635.745532407411</v>
      </c>
      <c r="BE44" s="1" t="s">
        <v>73</v>
      </c>
      <c r="BF44" s="1" t="s">
        <v>73</v>
      </c>
      <c r="BG44" s="1" t="s">
        <v>73</v>
      </c>
      <c r="BH44" s="1" t="s">
        <v>73</v>
      </c>
      <c r="BI44" s="1" t="s">
        <v>73</v>
      </c>
      <c r="BJ44" s="1" t="s">
        <v>73</v>
      </c>
      <c r="BK44" s="1"/>
      <c r="BL44" s="1" t="s">
        <v>73</v>
      </c>
      <c r="BM44" s="1" t="s">
        <v>73</v>
      </c>
      <c r="BN44" s="1" t="s">
        <v>73</v>
      </c>
      <c r="BO44" s="1" t="s">
        <v>73</v>
      </c>
      <c r="BP44" s="1" t="s">
        <v>73</v>
      </c>
      <c r="BQ44" s="1" t="s">
        <v>73</v>
      </c>
      <c r="BR44" s="1"/>
      <c r="BS44" s="1" t="s">
        <v>73</v>
      </c>
      <c r="BT44" s="1" t="s">
        <v>369</v>
      </c>
      <c r="BU44" s="1" t="s">
        <v>369</v>
      </c>
      <c r="BV44" s="1" t="s">
        <v>369</v>
      </c>
      <c r="BW44" s="1"/>
    </row>
    <row r="45" spans="1:152" ht="16" x14ac:dyDescent="0.2">
      <c r="A45" t="s">
        <v>138</v>
      </c>
      <c r="B45" t="s">
        <v>182</v>
      </c>
      <c r="C45" t="s">
        <v>150</v>
      </c>
      <c r="D45" s="1" t="s">
        <v>73</v>
      </c>
      <c r="E45" s="1" t="s">
        <v>72</v>
      </c>
      <c r="F45" s="1" t="s">
        <v>72</v>
      </c>
      <c r="G45" s="1" t="s">
        <v>72</v>
      </c>
      <c r="H45" s="1"/>
      <c r="I45" s="1">
        <v>3</v>
      </c>
      <c r="N45" s="1"/>
      <c r="O45" s="1"/>
      <c r="P45" s="1"/>
      <c r="Q45" s="1" t="s">
        <v>73</v>
      </c>
      <c r="R45" s="1" t="s">
        <v>73</v>
      </c>
      <c r="S45" s="1" t="s">
        <v>73</v>
      </c>
      <c r="T45" s="1"/>
      <c r="U45" s="1"/>
      <c r="V45" s="1"/>
      <c r="W45" s="1"/>
      <c r="X45" s="1"/>
      <c r="Y45" s="1"/>
      <c r="Z45" s="1" t="s">
        <v>73</v>
      </c>
      <c r="AA45" s="1" t="s">
        <v>73</v>
      </c>
      <c r="AC45" s="1"/>
      <c r="AE45" s="1"/>
      <c r="AF45" s="1"/>
      <c r="AK45" s="1" t="s">
        <v>73</v>
      </c>
      <c r="AL45" s="1" t="s">
        <v>72</v>
      </c>
      <c r="AM45" s="1">
        <v>6</v>
      </c>
      <c r="AN45" s="1" t="s">
        <v>72</v>
      </c>
      <c r="AO45" s="1">
        <v>6</v>
      </c>
      <c r="AP45" s="1" t="s">
        <v>73</v>
      </c>
      <c r="AR45" s="1" t="s">
        <v>72</v>
      </c>
      <c r="AS45" s="1">
        <v>3</v>
      </c>
      <c r="AT45" t="s">
        <v>73</v>
      </c>
      <c r="AW45" s="1">
        <v>30</v>
      </c>
      <c r="AX45" s="1">
        <v>2</v>
      </c>
      <c r="AY45" s="1" t="s">
        <v>73</v>
      </c>
      <c r="AZ45" s="1" t="s">
        <v>73</v>
      </c>
      <c r="BA45" s="126" t="s">
        <v>73</v>
      </c>
      <c r="BB45" s="1">
        <v>1819</v>
      </c>
      <c r="BC45" s="100">
        <v>45634.99622685185</v>
      </c>
      <c r="BD45" s="85">
        <v>45656.68545138889</v>
      </c>
      <c r="BE45" s="1" t="s">
        <v>73</v>
      </c>
      <c r="BF45" s="1" t="s">
        <v>73</v>
      </c>
      <c r="BG45" s="1" t="s">
        <v>73</v>
      </c>
      <c r="BH45" s="1" t="s">
        <v>73</v>
      </c>
      <c r="BI45" s="1" t="s">
        <v>73</v>
      </c>
      <c r="BJ45" s="1" t="s">
        <v>73</v>
      </c>
      <c r="BK45" s="1"/>
      <c r="BL45" s="1" t="s">
        <v>73</v>
      </c>
      <c r="BM45" s="1" t="s">
        <v>73</v>
      </c>
      <c r="BN45" s="1" t="s">
        <v>73</v>
      </c>
      <c r="BO45" s="1" t="s">
        <v>73</v>
      </c>
      <c r="BP45" s="1" t="s">
        <v>73</v>
      </c>
      <c r="BQ45" s="1" t="s">
        <v>73</v>
      </c>
      <c r="BR45" s="1"/>
      <c r="BS45" s="1" t="s">
        <v>169</v>
      </c>
      <c r="BT45" s="1" t="s">
        <v>369</v>
      </c>
      <c r="BU45" s="1" t="s">
        <v>369</v>
      </c>
      <c r="BV45" s="1" t="s">
        <v>369</v>
      </c>
      <c r="BW45" s="1">
        <v>8</v>
      </c>
    </row>
    <row r="46" spans="1:152" ht="16" x14ac:dyDescent="0.2">
      <c r="A46" t="s">
        <v>138</v>
      </c>
      <c r="B46" t="s">
        <v>183</v>
      </c>
      <c r="C46" t="s">
        <v>137</v>
      </c>
      <c r="D46" s="1" t="s">
        <v>73</v>
      </c>
      <c r="E46" s="1" t="s">
        <v>72</v>
      </c>
      <c r="F46" s="1" t="s">
        <v>72</v>
      </c>
      <c r="G46" s="1" t="s">
        <v>73</v>
      </c>
      <c r="H46" s="1"/>
      <c r="I46" s="1"/>
      <c r="N46" s="1"/>
      <c r="O46" s="1"/>
      <c r="P46" s="1"/>
      <c r="Q46" s="1" t="s">
        <v>73</v>
      </c>
      <c r="R46" s="1" t="s">
        <v>73</v>
      </c>
      <c r="S46" s="1" t="s">
        <v>73</v>
      </c>
      <c r="T46" s="1"/>
      <c r="U46" s="1"/>
      <c r="V46" s="1"/>
      <c r="W46" s="1"/>
      <c r="X46" s="1"/>
      <c r="Y46" s="1"/>
      <c r="Z46" s="1" t="s">
        <v>73</v>
      </c>
      <c r="AA46" s="1" t="s">
        <v>73</v>
      </c>
      <c r="AC46" s="1"/>
      <c r="AE46" s="1"/>
      <c r="AF46" s="1"/>
      <c r="AK46" s="1" t="s">
        <v>73</v>
      </c>
      <c r="AL46" s="1" t="s">
        <v>72</v>
      </c>
      <c r="AM46" s="1">
        <v>6</v>
      </c>
      <c r="AN46" s="1" t="s">
        <v>72</v>
      </c>
      <c r="AO46" s="1">
        <v>4</v>
      </c>
      <c r="AP46" s="1" t="s">
        <v>73</v>
      </c>
      <c r="AR46" s="1" t="s">
        <v>72</v>
      </c>
      <c r="AS46" s="1">
        <v>5</v>
      </c>
      <c r="AT46" t="s">
        <v>73</v>
      </c>
      <c r="AW46" s="1">
        <v>16</v>
      </c>
      <c r="AX46" s="1">
        <v>1</v>
      </c>
      <c r="AY46" s="1" t="s">
        <v>73</v>
      </c>
      <c r="AZ46" s="1" t="s">
        <v>73</v>
      </c>
      <c r="BA46" s="126" t="s">
        <v>73</v>
      </c>
      <c r="BB46" s="1">
        <v>1813</v>
      </c>
      <c r="BC46" s="100">
        <v>45630.951053240744</v>
      </c>
      <c r="BD46" s="85">
        <v>45631.712673611109</v>
      </c>
      <c r="BE46" s="1" t="s">
        <v>73</v>
      </c>
      <c r="BF46" s="1" t="s">
        <v>73</v>
      </c>
      <c r="BG46" s="1" t="s">
        <v>73</v>
      </c>
      <c r="BH46" s="1" t="s">
        <v>73</v>
      </c>
      <c r="BI46" s="1" t="s">
        <v>73</v>
      </c>
      <c r="BJ46" s="1" t="s">
        <v>73</v>
      </c>
      <c r="BK46" s="1"/>
      <c r="BL46" s="1" t="s">
        <v>73</v>
      </c>
      <c r="BM46" s="1" t="s">
        <v>73</v>
      </c>
      <c r="BN46" s="1" t="s">
        <v>73</v>
      </c>
      <c r="BO46" s="1" t="s">
        <v>73</v>
      </c>
      <c r="BP46" s="1" t="s">
        <v>73</v>
      </c>
      <c r="BQ46" s="1" t="s">
        <v>73</v>
      </c>
      <c r="BR46" s="1"/>
      <c r="BS46" s="1" t="s">
        <v>73</v>
      </c>
      <c r="BT46" s="1" t="s">
        <v>369</v>
      </c>
      <c r="BU46" s="1" t="s">
        <v>369</v>
      </c>
      <c r="BV46" s="1" t="s">
        <v>369</v>
      </c>
      <c r="BW46" s="1"/>
    </row>
    <row r="47" spans="1:152" ht="17" thickBot="1" x14ac:dyDescent="0.25">
      <c r="A47" t="s">
        <v>138</v>
      </c>
      <c r="B47" t="s">
        <v>178</v>
      </c>
      <c r="C47" t="s">
        <v>132</v>
      </c>
      <c r="D47" s="1" t="s">
        <v>73</v>
      </c>
      <c r="E47" s="1" t="s">
        <v>72</v>
      </c>
      <c r="F47" s="1" t="s">
        <v>72</v>
      </c>
      <c r="G47" s="1" t="s">
        <v>73</v>
      </c>
      <c r="H47" s="1"/>
      <c r="I47" s="1"/>
      <c r="N47" s="1"/>
      <c r="O47" s="1"/>
      <c r="P47" s="1"/>
      <c r="Q47" s="1" t="s">
        <v>73</v>
      </c>
      <c r="R47" s="1" t="s">
        <v>73</v>
      </c>
      <c r="S47" s="1" t="s">
        <v>73</v>
      </c>
      <c r="T47" s="1"/>
      <c r="U47" s="1"/>
      <c r="V47" s="1"/>
      <c r="W47" s="1"/>
      <c r="X47" s="1"/>
      <c r="Y47" s="1"/>
      <c r="Z47" s="1" t="s">
        <v>73</v>
      </c>
      <c r="AA47" s="1" t="s">
        <v>73</v>
      </c>
      <c r="AC47" s="1"/>
      <c r="AE47" s="1"/>
      <c r="AF47" s="1"/>
      <c r="AK47" s="1" t="s">
        <v>73</v>
      </c>
      <c r="AL47" s="1" t="s">
        <v>72</v>
      </c>
      <c r="AM47" s="1">
        <v>6</v>
      </c>
      <c r="AN47" s="1" t="s">
        <v>72</v>
      </c>
      <c r="AO47" s="1">
        <v>6</v>
      </c>
      <c r="AP47" s="1" t="s">
        <v>72</v>
      </c>
      <c r="AQ47" s="1">
        <v>6</v>
      </c>
      <c r="AR47" s="1" t="s">
        <v>72</v>
      </c>
      <c r="AS47" s="1">
        <v>6</v>
      </c>
      <c r="AT47" t="s">
        <v>72</v>
      </c>
      <c r="AU47">
        <v>1</v>
      </c>
      <c r="AV47">
        <v>1</v>
      </c>
      <c r="AW47" s="1">
        <v>25</v>
      </c>
      <c r="AX47" s="1">
        <v>3</v>
      </c>
      <c r="AY47" s="1" t="s">
        <v>73</v>
      </c>
      <c r="AZ47" s="1" t="s">
        <v>73</v>
      </c>
      <c r="BA47" s="126" t="s">
        <v>73</v>
      </c>
      <c r="BB47" s="1">
        <v>1808</v>
      </c>
      <c r="BC47" s="100">
        <v>45619.804212962961</v>
      </c>
      <c r="BD47" s="85">
        <v>45631.712268518517</v>
      </c>
      <c r="BE47" s="1" t="s">
        <v>73</v>
      </c>
      <c r="BF47" s="1" t="s">
        <v>73</v>
      </c>
      <c r="BG47" s="1" t="s">
        <v>73</v>
      </c>
      <c r="BH47" s="1" t="s">
        <v>73</v>
      </c>
      <c r="BI47" s="1" t="s">
        <v>73</v>
      </c>
      <c r="BJ47" s="1" t="s">
        <v>73</v>
      </c>
      <c r="BK47" s="1"/>
      <c r="BL47" s="1" t="s">
        <v>73</v>
      </c>
      <c r="BM47" s="1" t="s">
        <v>73</v>
      </c>
      <c r="BN47" s="1" t="s">
        <v>73</v>
      </c>
      <c r="BO47" s="1" t="s">
        <v>73</v>
      </c>
      <c r="BP47" s="1" t="s">
        <v>73</v>
      </c>
      <c r="BQ47" s="1" t="s">
        <v>73</v>
      </c>
      <c r="BR47" s="1"/>
      <c r="BS47" s="1" t="s">
        <v>73</v>
      </c>
      <c r="BT47" s="1" t="s">
        <v>369</v>
      </c>
      <c r="BU47" s="1" t="s">
        <v>369</v>
      </c>
      <c r="BV47" s="1" t="s">
        <v>369</v>
      </c>
      <c r="BW47" s="1"/>
    </row>
    <row r="48" spans="1:152" ht="16" thickTop="1" x14ac:dyDescent="0.2">
      <c r="A48" t="s">
        <v>79</v>
      </c>
      <c r="C48">
        <f>SUBTOTAL(103,FSD[Naam vereniging])</f>
        <v>41</v>
      </c>
      <c r="D48" s="1">
        <f>COUNTIF(FSD[Delegatie],"x")</f>
        <v>2</v>
      </c>
      <c r="E48" s="16">
        <f>COUNTIF(FSD[Muziekkorps bij mars en defilé],"x")</f>
        <v>36</v>
      </c>
      <c r="F48" s="16">
        <f>COUNTIF(FSD[Deeln. jeugdkoningschieten],"x")</f>
        <v>27</v>
      </c>
      <c r="G48" s="16">
        <f>COUNTIF(FSD[Maj. Senioren jureren bij mars],"x")</f>
        <v>6</v>
      </c>
      <c r="H48" s="16">
        <f>COUNTIF(FSD[Maj. Jeugd jureren bij mars],"x")</f>
        <v>3</v>
      </c>
      <c r="I48" s="1">
        <f>SUBTOTAL(103,FSD[Korps senioren])</f>
        <v>30</v>
      </c>
      <c r="J48" s="1">
        <f>SUBTOTAL(103,FSD[Junioren korps 1])</f>
        <v>15</v>
      </c>
      <c r="K48" s="1">
        <f>SUBTOTAL(103,FSD[Junioren korps 2])</f>
        <v>0</v>
      </c>
      <c r="L48" s="1">
        <f>SUBTOTAL(103,FSD[Aspiranten korps 1])</f>
        <v>9</v>
      </c>
      <c r="M48" s="1">
        <f>SUBTOTAL(103,FSD[Aspiranten korps 2])</f>
        <v>2</v>
      </c>
      <c r="N48" s="1">
        <f>SUBTOTAL(103,FSD[Acrobatisch senioren])</f>
        <v>4</v>
      </c>
      <c r="O48" s="1">
        <f>SUBTOTAL(103,FSD[Acrobatisch junioren])</f>
        <v>1</v>
      </c>
      <c r="P48" s="1">
        <f>SUBTOTAL(103,FSD[Acrobatisch aspiranten])</f>
        <v>0</v>
      </c>
      <c r="Q48" s="1"/>
      <c r="R48" s="1"/>
      <c r="S48" s="1"/>
      <c r="T48" s="79">
        <f>SUBTOTAL(109,FSD[Senioren indiv.])</f>
        <v>11</v>
      </c>
      <c r="U48" s="79">
        <f>SUBTOTAL(109,FSD[Junioren indiv.])</f>
        <v>6</v>
      </c>
      <c r="V48" s="1">
        <f>SUBTOTAL(109,FSD[Aspiranten indiv.])</f>
        <v>7</v>
      </c>
      <c r="W48" s="1">
        <f>SUBTOTAL(109,FSD[Sen. ind opgegeven namen])</f>
        <v>11</v>
      </c>
      <c r="X48" s="1">
        <f>SUBTOTAL(109,FSD[Jun. ind opgegeven namen])</f>
        <v>6</v>
      </c>
      <c r="Y48" s="1">
        <f>SUBTOTAL(109,FSD[Asp. ind opgegeven namen])</f>
        <v>7</v>
      </c>
      <c r="Z48" s="16">
        <f>COUNTIF(FSD[Hoofdkorps],"x")</f>
        <v>9</v>
      </c>
      <c r="AA48" s="117">
        <f>COUNTIF(FSD[2e korps],"x")</f>
        <v>0</v>
      </c>
      <c r="AB48" s="1">
        <f>SUBTOTAL(109,FSD[Groepen, teams, ensembles en duo''s])</f>
        <v>38</v>
      </c>
      <c r="AC48" s="1">
        <f>SUBTOTAL(109,FSD[Senioren])</f>
        <v>83</v>
      </c>
      <c r="AD48" s="1">
        <f>SUBTOTAL(109,FSD[Jong volwassene])</f>
        <v>7</v>
      </c>
      <c r="AE48" s="1">
        <f>SUBTOTAL(109,FSD[Junioren])</f>
        <v>4</v>
      </c>
      <c r="AF48" s="1">
        <f>SUBTOTAL(109,FSD[Aspiranten])</f>
        <v>9</v>
      </c>
      <c r="AG48" s="1">
        <f>SUBTOTAL(109,FSD[Opgegeven senioren])</f>
        <v>82</v>
      </c>
      <c r="AH48" s="1">
        <f>SUBTOTAL(109,FSD[Opgegeven jong volwassene])</f>
        <v>5</v>
      </c>
      <c r="AI48" s="1">
        <f>SUBTOTAL(109,FSD[Opgegeven junioren])</f>
        <v>4</v>
      </c>
      <c r="AJ48" s="1">
        <f>SUBTOTAL(109,FSD[Opgegeven aspiranten])</f>
        <v>9</v>
      </c>
      <c r="AK48" s="1">
        <f>COUNTIF(FSD[Marketentsters],"x")</f>
        <v>7</v>
      </c>
      <c r="AL48" s="1">
        <f>COUNTIF(FSD[Luchtgeweer],"x")</f>
        <v>28</v>
      </c>
      <c r="AM48" s="1">
        <f>SUBTOTAL(109,FSD[Aantal luchtgeweerschutters])</f>
        <v>155</v>
      </c>
      <c r="AN48" s="1">
        <f>COUNTIF(FSD[Luchtpistool],"x")</f>
        <v>23</v>
      </c>
      <c r="AO48" s="1">
        <f>SUBTOTAL(109,FSD[Aantal luchtpistoolschutters])</f>
        <v>127</v>
      </c>
      <c r="AP48" s="1">
        <f>COUNTIF(FSD[Handboog],"x")</f>
        <v>2</v>
      </c>
      <c r="AQ48" s="1">
        <f>SUBTOTAL(109,FSD[Aantal handboogschutters])</f>
        <v>12</v>
      </c>
      <c r="AR48" s="1">
        <f>COUNTIF(FSD[Kruisboog],"x")</f>
        <v>21</v>
      </c>
      <c r="AS48" s="1">
        <f>SUBTOTAL(109,FSD[Aantal kruisboogschutters])</f>
        <v>117</v>
      </c>
      <c r="AT48" s="1">
        <f>COUNTIF(FSD[Luchtgeweer jeugd niet ouder dan 17 jaar.],"x")</f>
        <v>11</v>
      </c>
      <c r="AU48" s="1">
        <f>SUBTOTAL(109,FSD[Aantal korpsen])</f>
        <v>20</v>
      </c>
      <c r="AV48" s="1">
        <f>SUBTOTAL(109,FSD[Opgegeven jeugdkorpsen LG])</f>
        <v>18</v>
      </c>
      <c r="AW48" s="1">
        <f>SUBTOTAL(109,FSD[Totaal aantal deelnemers])</f>
        <v>2126</v>
      </c>
      <c r="AX48" s="1">
        <f>SUBTOTAL(109,FSD[Waarvan aantal jeugd (t/m 15 jaar)])</f>
        <v>404</v>
      </c>
      <c r="AY48" s="84">
        <f>COUNTIF(FSD[Kanon etc.],"x")</f>
        <v>10</v>
      </c>
      <c r="AZ48" s="1">
        <f>COUNTIF(FSD[Paarden en/of koetsen],"x")</f>
        <v>4</v>
      </c>
      <c r="BA48" s="63"/>
      <c r="BB48" s="1"/>
      <c r="BC48" s="1"/>
      <c r="BD48" s="1"/>
      <c r="BE48" s="1"/>
      <c r="BF48" s="1"/>
      <c r="BG48" s="1"/>
      <c r="BH48" s="1"/>
      <c r="BI48" s="1"/>
      <c r="BJ48" s="1"/>
      <c r="BK48" s="1"/>
      <c r="BL48" s="1"/>
      <c r="BM48" s="1"/>
      <c r="BN48" s="1"/>
      <c r="BO48" s="1"/>
      <c r="BP48" s="1"/>
      <c r="BQ48" s="1"/>
      <c r="BR48" s="1"/>
      <c r="BS48" s="1"/>
      <c r="BT48" s="1"/>
      <c r="BU48" s="1"/>
      <c r="BV48" s="1"/>
      <c r="BW48" s="1">
        <f>SUBTOTAL(109,FSD[Aantal opgegeven majorettes])</f>
        <v>122</v>
      </c>
    </row>
    <row r="50" spans="3:3" x14ac:dyDescent="0.2">
      <c r="C50" s="32"/>
    </row>
  </sheetData>
  <mergeCells count="15">
    <mergeCell ref="Q4:S4"/>
    <mergeCell ref="T4:Y4"/>
    <mergeCell ref="BE4:BK4"/>
    <mergeCell ref="A1:BW1"/>
    <mergeCell ref="A2:BW2"/>
    <mergeCell ref="D3:H3"/>
    <mergeCell ref="I3:Y3"/>
    <mergeCell ref="Z3:AA3"/>
    <mergeCell ref="AL3:AV3"/>
    <mergeCell ref="BE3:BR3"/>
    <mergeCell ref="AW3:BD3"/>
    <mergeCell ref="BS3:BW3"/>
    <mergeCell ref="BL4:BR4"/>
    <mergeCell ref="I4:M4"/>
    <mergeCell ref="N4:P4"/>
  </mergeCells>
  <phoneticPr fontId="2" type="noConversion"/>
  <conditionalFormatting sqref="W6:W47">
    <cfRule type="expression" dxfId="7" priority="6">
      <formula>$T6-$W6&lt;&gt;0</formula>
    </cfRule>
  </conditionalFormatting>
  <conditionalFormatting sqref="X6:X47">
    <cfRule type="expression" dxfId="6" priority="7">
      <formula>$U6-$X6&lt;&gt;0</formula>
    </cfRule>
  </conditionalFormatting>
  <conditionalFormatting sqref="Y6:Y47">
    <cfRule type="expression" dxfId="5" priority="8">
      <formula>$V6-$Y6&lt;&gt;0</formula>
    </cfRule>
  </conditionalFormatting>
  <conditionalFormatting sqref="AG6:AG47">
    <cfRule type="expression" dxfId="4" priority="5">
      <formula>$AC6-$AG6&lt;&gt;0</formula>
    </cfRule>
  </conditionalFormatting>
  <conditionalFormatting sqref="AH6:AH47">
    <cfRule type="expression" dxfId="3" priority="4">
      <formula>$AD6-$AH6&lt;&gt;0</formula>
    </cfRule>
  </conditionalFormatting>
  <conditionalFormatting sqref="AI6:AI47">
    <cfRule type="expression" dxfId="2" priority="3">
      <formula>$AE6-$AI6&lt;&gt;0</formula>
    </cfRule>
  </conditionalFormatting>
  <conditionalFormatting sqref="AJ6:AJ47">
    <cfRule type="expression" dxfId="1" priority="2">
      <formula>$AF6-$AJ6&lt;&gt;0</formula>
    </cfRule>
  </conditionalFormatting>
  <conditionalFormatting sqref="AV6:AV47">
    <cfRule type="expression" dxfId="0" priority="1">
      <formula>$AU6-$AV6&lt;&gt;0</formula>
    </cfRule>
  </conditionalFormatting>
  <pageMargins left="0.25" right="0.25" top="0.75" bottom="0.75" header="0.3" footer="0.3"/>
  <pageSetup paperSize="9" scale="50" fitToHeight="0" orientation="landscape" horizont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6243C-AE29-44A8-A9C0-19C41604C858}">
  <sheetPr>
    <pageSetUpPr fitToPage="1"/>
  </sheetPr>
  <dimension ref="A1:AI39"/>
  <sheetViews>
    <sheetView topLeftCell="A26" zoomScale="110" zoomScaleNormal="110" workbookViewId="0">
      <selection activeCell="N3" sqref="N1:P1048576"/>
    </sheetView>
  </sheetViews>
  <sheetFormatPr baseColWidth="10" defaultColWidth="9.1640625" defaultRowHeight="16" x14ac:dyDescent="0.2"/>
  <cols>
    <col min="1" max="1" width="13.33203125" style="36" bestFit="1" customWidth="1"/>
    <col min="2" max="2" width="16" style="36" bestFit="1" customWidth="1"/>
    <col min="3" max="4" width="9.1640625" style="36" bestFit="1" customWidth="1"/>
    <col min="5" max="5" width="63.83203125" style="36" bestFit="1" customWidth="1"/>
    <col min="6" max="6" width="14" style="36" bestFit="1" customWidth="1"/>
    <col min="7" max="10" width="13.5" style="36" bestFit="1" customWidth="1"/>
    <col min="11" max="13" width="9.1640625" style="36" bestFit="1" customWidth="1"/>
    <col min="14" max="16" width="9.1640625" style="36" hidden="1" customWidth="1"/>
    <col min="17" max="17" width="4.83203125" style="36" customWidth="1"/>
    <col min="18" max="18" width="4.1640625" style="69" customWidth="1"/>
    <col min="19" max="19" width="5.1640625" style="69" customWidth="1"/>
    <col min="20" max="20" width="13.33203125" style="69" bestFit="1" customWidth="1"/>
    <col min="21" max="21" width="19.33203125" style="69" bestFit="1" customWidth="1"/>
    <col min="22" max="22" width="71.5" style="69" bestFit="1" customWidth="1"/>
    <col min="23" max="23" width="16" style="69" bestFit="1" customWidth="1"/>
    <col min="24" max="25" width="19.6640625" style="36" bestFit="1" customWidth="1"/>
    <col min="26" max="26" width="5.83203125" style="36" bestFit="1" customWidth="1"/>
    <col min="27" max="27" width="6.33203125" style="36" bestFit="1" customWidth="1"/>
    <col min="28" max="28" width="15.6640625" style="36" bestFit="1" customWidth="1"/>
    <col min="29" max="30" width="12.1640625" style="36" customWidth="1"/>
    <col min="31" max="32" width="15.83203125" style="36" bestFit="1" customWidth="1"/>
    <col min="33" max="16384" width="9.1640625" style="36"/>
  </cols>
  <sheetData>
    <row r="1" spans="1:35" ht="24" x14ac:dyDescent="0.2">
      <c r="A1" s="160" t="s">
        <v>144</v>
      </c>
      <c r="B1" s="160"/>
      <c r="C1" s="160"/>
      <c r="D1" s="160"/>
      <c r="E1" s="160"/>
      <c r="F1" s="160"/>
      <c r="G1" s="160"/>
      <c r="H1" s="160"/>
      <c r="I1" s="160"/>
      <c r="J1" s="160"/>
      <c r="K1" s="160"/>
      <c r="L1" s="160"/>
      <c r="M1" s="160"/>
      <c r="N1" s="160"/>
      <c r="O1" s="160"/>
      <c r="P1" s="160"/>
      <c r="Q1" s="160"/>
      <c r="R1" s="160"/>
      <c r="S1" s="160"/>
      <c r="T1" s="160"/>
      <c r="U1" s="160"/>
      <c r="V1" s="160"/>
      <c r="W1" s="160"/>
      <c r="X1" s="160"/>
      <c r="Y1" s="160"/>
      <c r="Z1" s="76"/>
      <c r="AA1" s="76"/>
      <c r="AB1" s="76"/>
      <c r="AC1" s="35"/>
      <c r="AD1" s="35"/>
      <c r="AE1" s="35"/>
    </row>
    <row r="2" spans="1:35" ht="24" x14ac:dyDescent="0.2">
      <c r="A2" s="160" t="s">
        <v>145</v>
      </c>
      <c r="B2" s="160"/>
      <c r="C2" s="160"/>
      <c r="D2" s="160"/>
      <c r="E2" s="160"/>
      <c r="F2" s="160"/>
      <c r="G2" s="160"/>
      <c r="H2" s="160"/>
      <c r="I2" s="160"/>
      <c r="J2" s="160"/>
      <c r="K2" s="160"/>
      <c r="L2" s="160"/>
      <c r="M2" s="160"/>
      <c r="N2" s="160"/>
      <c r="O2" s="160"/>
      <c r="P2" s="160"/>
      <c r="Q2" s="160"/>
      <c r="R2" s="160"/>
      <c r="S2" s="160"/>
      <c r="T2" s="160"/>
      <c r="U2" s="160"/>
      <c r="V2" s="160"/>
      <c r="W2" s="160"/>
      <c r="X2" s="160"/>
      <c r="Y2" s="160"/>
      <c r="Z2" s="76"/>
      <c r="AA2" s="76"/>
      <c r="AB2" s="76"/>
      <c r="AC2" s="35"/>
      <c r="AD2" s="35"/>
      <c r="AE2" s="35"/>
    </row>
    <row r="3" spans="1:35" ht="15" customHeight="1" thickBot="1" x14ac:dyDescent="0.25">
      <c r="A3" s="35"/>
      <c r="B3" s="35"/>
      <c r="C3" s="35"/>
      <c r="D3" s="35"/>
      <c r="E3" s="35"/>
      <c r="F3" s="35"/>
      <c r="G3" s="35"/>
      <c r="H3" s="35"/>
      <c r="I3" s="35"/>
      <c r="J3" s="35"/>
      <c r="K3" s="35"/>
      <c r="L3" s="35"/>
      <c r="M3" s="35"/>
      <c r="N3" s="35"/>
      <c r="O3" s="35"/>
      <c r="P3" s="37"/>
      <c r="Q3" s="35"/>
      <c r="R3" s="66"/>
      <c r="S3" s="66"/>
      <c r="T3" s="66"/>
      <c r="U3" s="66"/>
      <c r="V3" s="66"/>
      <c r="W3" s="66"/>
      <c r="X3" s="35"/>
      <c r="Y3" s="35"/>
      <c r="Z3" s="35"/>
      <c r="AA3" s="35"/>
      <c r="AB3" s="35"/>
      <c r="AC3" s="35"/>
      <c r="AD3" s="35"/>
      <c r="AE3" s="35"/>
    </row>
    <row r="4" spans="1:35" ht="24" x14ac:dyDescent="0.2">
      <c r="A4" s="38"/>
      <c r="B4" s="39"/>
      <c r="C4" s="39"/>
      <c r="D4" s="39"/>
      <c r="E4" s="40"/>
      <c r="F4" s="164" t="s">
        <v>87</v>
      </c>
      <c r="G4" s="165"/>
      <c r="H4" s="165"/>
      <c r="I4" s="165"/>
      <c r="J4" s="166"/>
      <c r="K4" s="164" t="s">
        <v>87</v>
      </c>
      <c r="L4" s="165"/>
      <c r="M4" s="166"/>
      <c r="N4" s="164" t="s">
        <v>87</v>
      </c>
      <c r="O4" s="165"/>
      <c r="P4" s="166"/>
      <c r="Q4" s="167" t="s">
        <v>88</v>
      </c>
      <c r="R4" s="168"/>
      <c r="S4" s="168"/>
      <c r="T4" s="67"/>
      <c r="U4" s="82"/>
      <c r="V4" s="82"/>
      <c r="W4" s="82"/>
      <c r="X4" s="82"/>
      <c r="Y4" s="82"/>
      <c r="Z4" s="39"/>
      <c r="AA4" s="40"/>
      <c r="AB4" s="35"/>
      <c r="AC4" s="35"/>
      <c r="AD4" s="35"/>
      <c r="AE4" s="35"/>
      <c r="AF4" s="35"/>
      <c r="AG4" s="35"/>
      <c r="AH4" s="35"/>
      <c r="AI4" s="35"/>
    </row>
    <row r="5" spans="1:35" ht="25" thickBot="1" x14ac:dyDescent="0.25">
      <c r="A5" s="41"/>
      <c r="B5" s="42"/>
      <c r="C5" s="42"/>
      <c r="D5" s="42"/>
      <c r="E5" s="43"/>
      <c r="F5" s="169" t="s">
        <v>11</v>
      </c>
      <c r="G5" s="170"/>
      <c r="H5" s="170"/>
      <c r="I5" s="170"/>
      <c r="J5" s="171"/>
      <c r="K5" s="159" t="s">
        <v>88</v>
      </c>
      <c r="L5" s="160"/>
      <c r="M5" s="161"/>
      <c r="N5" s="159" t="s">
        <v>13</v>
      </c>
      <c r="O5" s="160"/>
      <c r="P5" s="161"/>
      <c r="Q5" s="162" t="s">
        <v>14</v>
      </c>
      <c r="R5" s="163"/>
      <c r="S5" s="163"/>
      <c r="T5" s="68"/>
      <c r="U5" s="83"/>
      <c r="V5" s="83"/>
      <c r="W5" s="83"/>
      <c r="X5" s="83"/>
      <c r="Y5" s="83"/>
      <c r="Z5" s="42"/>
      <c r="AA5" s="43"/>
      <c r="AB5" s="35"/>
      <c r="AC5" s="35"/>
      <c r="AD5" s="35"/>
      <c r="AE5" s="35"/>
      <c r="AF5" s="35"/>
      <c r="AG5" s="35"/>
      <c r="AH5" s="35"/>
      <c r="AI5" s="35"/>
    </row>
    <row r="6" spans="1:35" s="47" customFormat="1" ht="62" x14ac:dyDescent="0.2">
      <c r="A6" s="2" t="s">
        <v>51</v>
      </c>
      <c r="B6" s="46" t="s">
        <v>52</v>
      </c>
      <c r="C6" s="44" t="s">
        <v>89</v>
      </c>
      <c r="D6" s="44" t="s">
        <v>90</v>
      </c>
      <c r="E6" s="45" t="s">
        <v>19</v>
      </c>
      <c r="F6" s="115" t="s">
        <v>91</v>
      </c>
      <c r="G6" s="116" t="s">
        <v>104</v>
      </c>
      <c r="H6" s="116" t="s">
        <v>105</v>
      </c>
      <c r="I6" s="116" t="s">
        <v>106</v>
      </c>
      <c r="J6" s="116" t="s">
        <v>107</v>
      </c>
      <c r="K6" s="112" t="s">
        <v>92</v>
      </c>
      <c r="L6" s="112" t="s">
        <v>93</v>
      </c>
      <c r="M6" s="112" t="s">
        <v>94</v>
      </c>
      <c r="N6" s="112" t="s">
        <v>95</v>
      </c>
      <c r="O6" s="112" t="s">
        <v>96</v>
      </c>
      <c r="P6" s="112" t="s">
        <v>97</v>
      </c>
      <c r="Q6" s="113" t="s">
        <v>38</v>
      </c>
      <c r="R6" s="113" t="s">
        <v>39</v>
      </c>
      <c r="S6" s="114" t="s">
        <v>40</v>
      </c>
      <c r="T6" s="46" t="s">
        <v>99</v>
      </c>
      <c r="U6" s="46" t="s">
        <v>100</v>
      </c>
      <c r="V6" s="46" t="s">
        <v>98</v>
      </c>
      <c r="W6" s="2" t="s">
        <v>108</v>
      </c>
    </row>
    <row r="7" spans="1:35" ht="17" x14ac:dyDescent="0.2">
      <c r="A7">
        <v>1976</v>
      </c>
      <c r="B7" s="130">
        <v>45656.72960648148</v>
      </c>
      <c r="C7" s="131" t="s">
        <v>151</v>
      </c>
      <c r="D7" s="131" t="s">
        <v>343</v>
      </c>
      <c r="E7" s="131" t="s">
        <v>344</v>
      </c>
      <c r="F7" s="132">
        <v>8</v>
      </c>
      <c r="G7" s="133">
        <v>5</v>
      </c>
      <c r="H7" s="133"/>
      <c r="I7" s="133"/>
      <c r="J7" s="133"/>
      <c r="K7" s="132"/>
      <c r="L7" s="132"/>
      <c r="M7" s="132"/>
      <c r="N7" s="132"/>
      <c r="O7" s="132"/>
      <c r="P7" s="132"/>
      <c r="Q7" s="132"/>
      <c r="R7" s="132"/>
      <c r="S7" s="132"/>
      <c r="T7" s="132">
        <v>13</v>
      </c>
      <c r="U7" s="132"/>
      <c r="V7" s="134" t="s">
        <v>73</v>
      </c>
      <c r="W7" s="135">
        <v>45656.687939814816</v>
      </c>
    </row>
    <row r="8" spans="1:35" ht="17" x14ac:dyDescent="0.2">
      <c r="A8">
        <v>1972</v>
      </c>
      <c r="B8" s="130">
        <v>45656.4765162037</v>
      </c>
      <c r="C8" s="131" t="s">
        <v>151</v>
      </c>
      <c r="D8" s="131" t="s">
        <v>345</v>
      </c>
      <c r="E8" s="131" t="s">
        <v>346</v>
      </c>
      <c r="F8" s="132">
        <v>10</v>
      </c>
      <c r="G8" s="133"/>
      <c r="H8" s="133"/>
      <c r="I8" s="133">
        <v>4</v>
      </c>
      <c r="J8" s="133"/>
      <c r="K8" s="132"/>
      <c r="L8" s="132"/>
      <c r="M8" s="132"/>
      <c r="N8" s="132"/>
      <c r="O8" s="132"/>
      <c r="P8" s="132"/>
      <c r="Q8" s="132">
        <v>1</v>
      </c>
      <c r="R8" s="132"/>
      <c r="S8" s="132"/>
      <c r="T8" s="132">
        <v>15</v>
      </c>
      <c r="U8" s="132">
        <v>4</v>
      </c>
      <c r="V8" s="134" t="s">
        <v>73</v>
      </c>
      <c r="W8" s="135">
        <v>45656.434849537036</v>
      </c>
    </row>
    <row r="9" spans="1:35" ht="17" x14ac:dyDescent="0.2">
      <c r="A9">
        <v>1967</v>
      </c>
      <c r="B9" s="130">
        <v>45655.556550925925</v>
      </c>
      <c r="C9" s="131" t="s">
        <v>151</v>
      </c>
      <c r="D9" s="131" t="s">
        <v>326</v>
      </c>
      <c r="E9" s="131" t="s">
        <v>327</v>
      </c>
      <c r="F9" s="132">
        <v>7</v>
      </c>
      <c r="G9" s="133"/>
      <c r="H9" s="133"/>
      <c r="I9" s="133"/>
      <c r="J9" s="133"/>
      <c r="K9" s="132">
        <v>7</v>
      </c>
      <c r="L9" s="132"/>
      <c r="M9" s="132"/>
      <c r="N9" s="132"/>
      <c r="O9" s="132"/>
      <c r="P9" s="132"/>
      <c r="Q9" s="132">
        <v>2</v>
      </c>
      <c r="R9" s="132"/>
      <c r="S9" s="132"/>
      <c r="T9" s="132">
        <v>16</v>
      </c>
      <c r="U9" s="132"/>
      <c r="V9" s="134" t="s">
        <v>73</v>
      </c>
      <c r="W9" s="135">
        <v>45655.514884259261</v>
      </c>
    </row>
    <row r="10" spans="1:35" ht="17" x14ac:dyDescent="0.2">
      <c r="A10">
        <v>1959</v>
      </c>
      <c r="B10" s="130">
        <v>45653.948136574072</v>
      </c>
      <c r="C10" s="131" t="s">
        <v>151</v>
      </c>
      <c r="D10" s="131" t="s">
        <v>316</v>
      </c>
      <c r="E10" s="131" t="s">
        <v>317</v>
      </c>
      <c r="F10" s="132"/>
      <c r="G10" s="133"/>
      <c r="H10" s="133"/>
      <c r="I10" s="133">
        <v>3</v>
      </c>
      <c r="J10" s="133"/>
      <c r="K10" s="132"/>
      <c r="L10" s="132"/>
      <c r="M10" s="132"/>
      <c r="N10" s="132"/>
      <c r="O10" s="132"/>
      <c r="P10" s="132"/>
      <c r="Q10" s="132"/>
      <c r="R10" s="132"/>
      <c r="S10" s="132"/>
      <c r="T10" s="132">
        <v>3</v>
      </c>
      <c r="U10" s="132">
        <v>3</v>
      </c>
      <c r="V10" s="134" t="s">
        <v>322</v>
      </c>
      <c r="W10" s="135">
        <v>45654.773217592592</v>
      </c>
    </row>
    <row r="11" spans="1:35" ht="17" x14ac:dyDescent="0.2">
      <c r="A11">
        <v>1952</v>
      </c>
      <c r="B11" s="130">
        <v>45653.862361111111</v>
      </c>
      <c r="C11" s="131" t="s">
        <v>151</v>
      </c>
      <c r="D11" s="131" t="s">
        <v>318</v>
      </c>
      <c r="E11" s="131" t="s">
        <v>319</v>
      </c>
      <c r="F11" s="132">
        <v>14</v>
      </c>
      <c r="G11" s="133">
        <v>8</v>
      </c>
      <c r="H11" s="133"/>
      <c r="I11" s="133">
        <v>4</v>
      </c>
      <c r="J11" s="133"/>
      <c r="K11" s="132">
        <v>13</v>
      </c>
      <c r="L11" s="132">
        <v>6</v>
      </c>
      <c r="M11" s="132"/>
      <c r="N11" s="132"/>
      <c r="O11" s="132"/>
      <c r="P11" s="132"/>
      <c r="Q11" s="132">
        <v>1</v>
      </c>
      <c r="R11" s="132">
        <v>2</v>
      </c>
      <c r="S11" s="132">
        <v>1</v>
      </c>
      <c r="T11" s="132">
        <v>49</v>
      </c>
      <c r="U11" s="132">
        <v>5</v>
      </c>
      <c r="V11" s="134" t="s">
        <v>73</v>
      </c>
      <c r="W11" s="135">
        <v>45653.820694444446</v>
      </c>
    </row>
    <row r="12" spans="1:35" ht="17" x14ac:dyDescent="0.2">
      <c r="A12">
        <v>1950</v>
      </c>
      <c r="B12" s="130">
        <v>45653.848657407405</v>
      </c>
      <c r="C12" s="131" t="s">
        <v>151</v>
      </c>
      <c r="D12" s="131" t="s">
        <v>314</v>
      </c>
      <c r="E12" s="131" t="s">
        <v>315</v>
      </c>
      <c r="F12" s="132">
        <v>6</v>
      </c>
      <c r="G12" s="133">
        <v>6</v>
      </c>
      <c r="H12" s="133"/>
      <c r="I12" s="133">
        <v>6</v>
      </c>
      <c r="J12" s="133">
        <v>6</v>
      </c>
      <c r="K12" s="132"/>
      <c r="L12" s="132"/>
      <c r="M12" s="132"/>
      <c r="N12" s="132"/>
      <c r="O12" s="132"/>
      <c r="P12" s="132"/>
      <c r="Q12" s="132"/>
      <c r="R12" s="132"/>
      <c r="S12" s="132"/>
      <c r="T12" s="132">
        <v>24</v>
      </c>
      <c r="U12" s="132">
        <v>12</v>
      </c>
      <c r="V12" s="134" t="s">
        <v>73</v>
      </c>
      <c r="W12" s="135">
        <v>45653.806990740741</v>
      </c>
    </row>
    <row r="13" spans="1:35" ht="17" x14ac:dyDescent="0.2">
      <c r="A13">
        <v>1945</v>
      </c>
      <c r="B13" s="130">
        <v>45653.773368055554</v>
      </c>
      <c r="C13" s="131" t="s">
        <v>151</v>
      </c>
      <c r="D13" s="131" t="s">
        <v>309</v>
      </c>
      <c r="E13" s="131" t="s">
        <v>310</v>
      </c>
      <c r="F13" s="132">
        <v>14</v>
      </c>
      <c r="G13" s="133">
        <v>3</v>
      </c>
      <c r="H13" s="133"/>
      <c r="I13" s="133"/>
      <c r="J13" s="133"/>
      <c r="K13" s="132">
        <v>4</v>
      </c>
      <c r="L13" s="132">
        <v>3</v>
      </c>
      <c r="M13" s="132"/>
      <c r="N13" s="132"/>
      <c r="O13" s="132"/>
      <c r="P13" s="132"/>
      <c r="Q13" s="132">
        <v>2</v>
      </c>
      <c r="R13" s="132">
        <v>2</v>
      </c>
      <c r="S13" s="132">
        <v>1</v>
      </c>
      <c r="T13" s="132">
        <v>29</v>
      </c>
      <c r="U13" s="132">
        <v>1</v>
      </c>
      <c r="V13" s="134" t="s">
        <v>73</v>
      </c>
      <c r="W13" s="135">
        <v>45653.73170138889</v>
      </c>
    </row>
    <row r="14" spans="1:35" ht="17" x14ac:dyDescent="0.2">
      <c r="A14">
        <v>1936</v>
      </c>
      <c r="B14" s="130">
        <v>45653.425196759257</v>
      </c>
      <c r="C14" s="131" t="s">
        <v>151</v>
      </c>
      <c r="D14" s="131" t="s">
        <v>311</v>
      </c>
      <c r="E14" s="131" t="s">
        <v>312</v>
      </c>
      <c r="F14" s="132">
        <v>4</v>
      </c>
      <c r="G14" s="133">
        <v>6</v>
      </c>
      <c r="H14" s="133"/>
      <c r="I14" s="133">
        <v>10</v>
      </c>
      <c r="J14" s="133">
        <v>3</v>
      </c>
      <c r="K14" s="132"/>
      <c r="L14" s="132"/>
      <c r="M14" s="132"/>
      <c r="N14" s="132"/>
      <c r="O14" s="132"/>
      <c r="P14" s="132"/>
      <c r="Q14" s="132"/>
      <c r="R14" s="132"/>
      <c r="S14" s="132"/>
      <c r="T14" s="132">
        <v>23</v>
      </c>
      <c r="U14" s="132">
        <v>13</v>
      </c>
      <c r="V14" s="134" t="s">
        <v>73</v>
      </c>
      <c r="W14" s="135">
        <v>45653.383530092593</v>
      </c>
    </row>
    <row r="15" spans="1:35" ht="34" x14ac:dyDescent="0.2">
      <c r="A15">
        <v>1934</v>
      </c>
      <c r="B15" s="130">
        <v>45653.002071759256</v>
      </c>
      <c r="C15" s="131" t="s">
        <v>151</v>
      </c>
      <c r="D15" s="131" t="s">
        <v>292</v>
      </c>
      <c r="E15" s="131" t="s">
        <v>293</v>
      </c>
      <c r="F15" s="132">
        <v>14</v>
      </c>
      <c r="G15" s="133"/>
      <c r="H15" s="133"/>
      <c r="I15" s="133">
        <v>4</v>
      </c>
      <c r="J15" s="133"/>
      <c r="K15" s="132"/>
      <c r="L15" s="132"/>
      <c r="M15" s="132"/>
      <c r="N15" s="132"/>
      <c r="O15" s="132"/>
      <c r="P15" s="132"/>
      <c r="Q15" s="132"/>
      <c r="R15" s="132"/>
      <c r="S15" s="132"/>
      <c r="T15" s="132">
        <v>18</v>
      </c>
      <c r="U15" s="132">
        <v>4</v>
      </c>
      <c r="V15" s="134" t="s">
        <v>294</v>
      </c>
      <c r="W15" s="135">
        <v>45652.960405092592</v>
      </c>
    </row>
    <row r="16" spans="1:35" ht="17" x14ac:dyDescent="0.2">
      <c r="A16">
        <v>1924</v>
      </c>
      <c r="B16" s="130">
        <v>45652.486805555556</v>
      </c>
      <c r="C16" s="131" t="s">
        <v>151</v>
      </c>
      <c r="D16" s="131" t="s">
        <v>288</v>
      </c>
      <c r="E16" s="131" t="s">
        <v>289</v>
      </c>
      <c r="F16" s="132">
        <v>10</v>
      </c>
      <c r="G16" s="133">
        <v>9</v>
      </c>
      <c r="H16" s="133"/>
      <c r="I16" s="133">
        <v>3</v>
      </c>
      <c r="J16" s="133"/>
      <c r="K16" s="132">
        <v>12</v>
      </c>
      <c r="L16" s="132"/>
      <c r="M16" s="132"/>
      <c r="N16" s="132"/>
      <c r="O16" s="132"/>
      <c r="P16" s="132"/>
      <c r="Q16" s="132"/>
      <c r="R16" s="132"/>
      <c r="S16" s="132"/>
      <c r="T16" s="132">
        <v>34</v>
      </c>
      <c r="U16" s="132">
        <v>3</v>
      </c>
      <c r="V16" s="134" t="s">
        <v>73</v>
      </c>
      <c r="W16" s="135">
        <v>45652.445138888892</v>
      </c>
    </row>
    <row r="17" spans="1:23" ht="17" x14ac:dyDescent="0.2">
      <c r="A17">
        <v>1906</v>
      </c>
      <c r="B17" s="130">
        <v>45649.591921296298</v>
      </c>
      <c r="C17" s="131" t="s">
        <v>151</v>
      </c>
      <c r="D17" s="131" t="s">
        <v>271</v>
      </c>
      <c r="E17" s="131" t="s">
        <v>272</v>
      </c>
      <c r="F17" s="132"/>
      <c r="G17" s="133">
        <v>4</v>
      </c>
      <c r="H17" s="133"/>
      <c r="I17" s="133">
        <v>2</v>
      </c>
      <c r="J17" s="133"/>
      <c r="K17" s="132"/>
      <c r="L17" s="132"/>
      <c r="M17" s="132"/>
      <c r="N17" s="132"/>
      <c r="O17" s="132"/>
      <c r="P17" s="132"/>
      <c r="Q17" s="132"/>
      <c r="R17" s="132"/>
      <c r="S17" s="132"/>
      <c r="T17" s="132">
        <v>6</v>
      </c>
      <c r="U17" s="132">
        <v>2</v>
      </c>
      <c r="V17" s="134" t="s">
        <v>73</v>
      </c>
      <c r="W17" s="135">
        <v>45649.550254629627</v>
      </c>
    </row>
    <row r="18" spans="1:23" ht="17" x14ac:dyDescent="0.2">
      <c r="A18">
        <v>1896</v>
      </c>
      <c r="B18" s="130">
        <v>45648.830879629626</v>
      </c>
      <c r="C18" s="131" t="s">
        <v>151</v>
      </c>
      <c r="D18" s="131" t="s">
        <v>262</v>
      </c>
      <c r="E18" s="131" t="s">
        <v>263</v>
      </c>
      <c r="F18" s="132">
        <v>10</v>
      </c>
      <c r="G18" s="133"/>
      <c r="H18" s="133"/>
      <c r="I18" s="133">
        <v>3</v>
      </c>
      <c r="J18" s="133"/>
      <c r="K18" s="132">
        <v>4</v>
      </c>
      <c r="L18" s="132"/>
      <c r="M18" s="132"/>
      <c r="N18" s="132"/>
      <c r="O18" s="132"/>
      <c r="P18" s="132"/>
      <c r="Q18" s="132"/>
      <c r="R18" s="132">
        <v>1</v>
      </c>
      <c r="S18" s="132">
        <v>1</v>
      </c>
      <c r="T18" s="132">
        <v>19</v>
      </c>
      <c r="U18" s="132">
        <v>4</v>
      </c>
      <c r="V18" s="134" t="s">
        <v>73</v>
      </c>
      <c r="W18" s="135">
        <v>45648.789212962962</v>
      </c>
    </row>
    <row r="19" spans="1:23" ht="17" x14ac:dyDescent="0.2">
      <c r="A19">
        <v>1893</v>
      </c>
      <c r="B19" s="130">
        <v>45648.803252314814</v>
      </c>
      <c r="C19" s="131" t="s">
        <v>151</v>
      </c>
      <c r="D19" s="131" t="s">
        <v>259</v>
      </c>
      <c r="E19" s="131" t="s">
        <v>260</v>
      </c>
      <c r="F19" s="132">
        <v>4</v>
      </c>
      <c r="G19" s="133"/>
      <c r="H19" s="133"/>
      <c r="I19" s="133"/>
      <c r="J19" s="133"/>
      <c r="K19" s="132"/>
      <c r="L19" s="132"/>
      <c r="M19" s="132"/>
      <c r="N19" s="132"/>
      <c r="O19" s="132"/>
      <c r="P19" s="132"/>
      <c r="Q19" s="132"/>
      <c r="R19" s="132"/>
      <c r="S19" s="132"/>
      <c r="T19" s="132">
        <v>4</v>
      </c>
      <c r="U19" s="132"/>
      <c r="V19" s="134" t="s">
        <v>73</v>
      </c>
      <c r="W19" s="135">
        <v>45648.76158564815</v>
      </c>
    </row>
    <row r="20" spans="1:23" ht="17" x14ac:dyDescent="0.2">
      <c r="A20">
        <v>1887</v>
      </c>
      <c r="B20" s="130">
        <v>45647.560381944444</v>
      </c>
      <c r="C20" s="131" t="s">
        <v>151</v>
      </c>
      <c r="D20" s="131" t="s">
        <v>247</v>
      </c>
      <c r="E20" s="131" t="s">
        <v>248</v>
      </c>
      <c r="F20" s="132">
        <v>8</v>
      </c>
      <c r="G20" s="133"/>
      <c r="H20" s="133"/>
      <c r="I20" s="133"/>
      <c r="J20" s="133"/>
      <c r="K20" s="132"/>
      <c r="L20" s="132"/>
      <c r="M20" s="132"/>
      <c r="N20" s="132"/>
      <c r="O20" s="132"/>
      <c r="P20" s="132"/>
      <c r="Q20" s="132"/>
      <c r="R20" s="132"/>
      <c r="S20" s="132"/>
      <c r="T20" s="132">
        <v>8</v>
      </c>
      <c r="U20" s="132"/>
      <c r="V20" s="134" t="s">
        <v>73</v>
      </c>
      <c r="W20" s="135">
        <v>45647.51871527778</v>
      </c>
    </row>
    <row r="21" spans="1:23" ht="17" x14ac:dyDescent="0.2">
      <c r="A21">
        <v>1884</v>
      </c>
      <c r="B21" s="130">
        <v>45647.547060185185</v>
      </c>
      <c r="C21" s="131" t="s">
        <v>151</v>
      </c>
      <c r="D21" s="131" t="s">
        <v>241</v>
      </c>
      <c r="E21" s="131" t="s">
        <v>242</v>
      </c>
      <c r="F21" s="132">
        <v>6</v>
      </c>
      <c r="G21" s="133">
        <v>3</v>
      </c>
      <c r="H21" s="133"/>
      <c r="I21" s="133"/>
      <c r="J21" s="133"/>
      <c r="K21" s="132"/>
      <c r="L21" s="132"/>
      <c r="M21" s="132"/>
      <c r="N21" s="132"/>
      <c r="O21" s="132"/>
      <c r="P21" s="132"/>
      <c r="Q21" s="132">
        <v>1</v>
      </c>
      <c r="R21" s="132"/>
      <c r="S21" s="132"/>
      <c r="T21" s="132">
        <v>10</v>
      </c>
      <c r="U21" s="132"/>
      <c r="V21" s="134" t="s">
        <v>73</v>
      </c>
      <c r="W21" s="135">
        <v>45647.505393518521</v>
      </c>
    </row>
    <row r="22" spans="1:23" ht="17" x14ac:dyDescent="0.2">
      <c r="A22">
        <v>1883</v>
      </c>
      <c r="B22" s="130">
        <v>45647.526469907411</v>
      </c>
      <c r="C22" s="131" t="s">
        <v>151</v>
      </c>
      <c r="D22" s="131" t="s">
        <v>249</v>
      </c>
      <c r="E22" s="131" t="s">
        <v>250</v>
      </c>
      <c r="F22" s="132">
        <v>7</v>
      </c>
      <c r="G22" s="133">
        <v>3</v>
      </c>
      <c r="H22" s="133"/>
      <c r="I22" s="133"/>
      <c r="J22" s="133"/>
      <c r="K22" s="132"/>
      <c r="L22" s="132"/>
      <c r="M22" s="132"/>
      <c r="N22" s="132"/>
      <c r="O22" s="132"/>
      <c r="P22" s="132"/>
      <c r="Q22" s="132"/>
      <c r="R22" s="132">
        <v>1</v>
      </c>
      <c r="S22" s="132"/>
      <c r="T22" s="132">
        <v>11</v>
      </c>
      <c r="U22" s="132"/>
      <c r="V22" s="134" t="s">
        <v>73</v>
      </c>
      <c r="W22" s="135">
        <v>45647.484803240739</v>
      </c>
    </row>
    <row r="23" spans="1:23" ht="17" x14ac:dyDescent="0.2">
      <c r="A23">
        <v>1879</v>
      </c>
      <c r="B23" s="130">
        <v>45647.415462962963</v>
      </c>
      <c r="C23" s="131" t="s">
        <v>151</v>
      </c>
      <c r="D23" s="131" t="s">
        <v>244</v>
      </c>
      <c r="E23" s="131" t="s">
        <v>245</v>
      </c>
      <c r="F23" s="132">
        <v>7</v>
      </c>
      <c r="G23" s="133"/>
      <c r="H23" s="133"/>
      <c r="I23" s="133"/>
      <c r="J23" s="133"/>
      <c r="K23" s="132"/>
      <c r="L23" s="132"/>
      <c r="M23" s="132"/>
      <c r="N23" s="132"/>
      <c r="O23" s="132"/>
      <c r="P23" s="132"/>
      <c r="Q23" s="132">
        <v>2</v>
      </c>
      <c r="R23" s="132"/>
      <c r="S23" s="132"/>
      <c r="T23" s="132">
        <v>9</v>
      </c>
      <c r="U23" s="132"/>
      <c r="V23" s="134" t="s">
        <v>73</v>
      </c>
      <c r="W23" s="135">
        <v>45647.373796296299</v>
      </c>
    </row>
    <row r="24" spans="1:23" ht="17" x14ac:dyDescent="0.2">
      <c r="A24">
        <v>1878</v>
      </c>
      <c r="B24" s="130">
        <v>45646.827939814815</v>
      </c>
      <c r="C24" s="131" t="s">
        <v>151</v>
      </c>
      <c r="D24" s="131" t="s">
        <v>254</v>
      </c>
      <c r="E24" s="131" t="s">
        <v>255</v>
      </c>
      <c r="F24" s="132">
        <v>6</v>
      </c>
      <c r="G24" s="133"/>
      <c r="H24" s="133"/>
      <c r="I24" s="133"/>
      <c r="J24" s="133"/>
      <c r="K24" s="132"/>
      <c r="L24" s="132"/>
      <c r="M24" s="132"/>
      <c r="N24" s="132"/>
      <c r="O24" s="132"/>
      <c r="P24" s="132"/>
      <c r="Q24" s="132"/>
      <c r="R24" s="132"/>
      <c r="S24" s="132"/>
      <c r="T24" s="132">
        <v>6</v>
      </c>
      <c r="U24" s="132"/>
      <c r="V24" s="134" t="s">
        <v>73</v>
      </c>
      <c r="W24" s="135">
        <v>45646.786273148151</v>
      </c>
    </row>
    <row r="25" spans="1:23" ht="17" x14ac:dyDescent="0.2">
      <c r="A25">
        <v>1875</v>
      </c>
      <c r="B25" s="130">
        <v>45646.462129629632</v>
      </c>
      <c r="C25" s="131" t="s">
        <v>151</v>
      </c>
      <c r="D25" s="131" t="s">
        <v>234</v>
      </c>
      <c r="E25" s="131" t="s">
        <v>235</v>
      </c>
      <c r="F25" s="132">
        <v>16</v>
      </c>
      <c r="G25" s="133"/>
      <c r="H25" s="133"/>
      <c r="I25" s="133"/>
      <c r="J25" s="133"/>
      <c r="K25" s="132"/>
      <c r="L25" s="132"/>
      <c r="M25" s="132"/>
      <c r="N25" s="132"/>
      <c r="O25" s="132"/>
      <c r="P25" s="132"/>
      <c r="Q25" s="132"/>
      <c r="R25" s="132"/>
      <c r="S25" s="132"/>
      <c r="T25" s="132">
        <v>16</v>
      </c>
      <c r="U25" s="132"/>
      <c r="V25" s="134" t="s">
        <v>73</v>
      </c>
      <c r="W25" s="135">
        <v>45646.42046296296</v>
      </c>
    </row>
    <row r="26" spans="1:23" ht="17" x14ac:dyDescent="0.2">
      <c r="A26">
        <v>1871</v>
      </c>
      <c r="B26" s="130">
        <v>45645.464629629627</v>
      </c>
      <c r="C26" s="131" t="s">
        <v>151</v>
      </c>
      <c r="D26" s="131" t="s">
        <v>231</v>
      </c>
      <c r="E26" s="131" t="s">
        <v>232</v>
      </c>
      <c r="F26" s="132">
        <v>10</v>
      </c>
      <c r="G26" s="133"/>
      <c r="H26" s="133"/>
      <c r="I26" s="133"/>
      <c r="J26" s="133"/>
      <c r="K26" s="132"/>
      <c r="L26" s="132"/>
      <c r="M26" s="132"/>
      <c r="N26" s="132"/>
      <c r="O26" s="132"/>
      <c r="P26" s="132"/>
      <c r="Q26" s="132"/>
      <c r="R26" s="132"/>
      <c r="S26" s="132"/>
      <c r="T26" s="132">
        <v>10</v>
      </c>
      <c r="U26" s="132"/>
      <c r="V26" s="134" t="s">
        <v>239</v>
      </c>
      <c r="W26" s="135">
        <v>45645.422962962963</v>
      </c>
    </row>
    <row r="27" spans="1:23" ht="17" x14ac:dyDescent="0.2">
      <c r="A27">
        <v>1866</v>
      </c>
      <c r="B27" s="130">
        <v>45644.851886574077</v>
      </c>
      <c r="C27" s="131" t="s">
        <v>151</v>
      </c>
      <c r="D27" s="131" t="s">
        <v>228</v>
      </c>
      <c r="E27" s="131" t="s">
        <v>229</v>
      </c>
      <c r="F27" s="132">
        <v>6</v>
      </c>
      <c r="G27" s="133"/>
      <c r="H27" s="133"/>
      <c r="I27" s="133"/>
      <c r="J27" s="133"/>
      <c r="K27" s="132"/>
      <c r="L27" s="132"/>
      <c r="M27" s="132"/>
      <c r="N27" s="132"/>
      <c r="O27" s="132"/>
      <c r="P27" s="132"/>
      <c r="Q27" s="132"/>
      <c r="R27" s="132"/>
      <c r="S27" s="132"/>
      <c r="T27" s="132">
        <v>6</v>
      </c>
      <c r="U27" s="132"/>
      <c r="V27" s="134" t="s">
        <v>73</v>
      </c>
      <c r="W27" s="135">
        <v>45644.810219907406</v>
      </c>
    </row>
    <row r="28" spans="1:23" ht="17" x14ac:dyDescent="0.2">
      <c r="A28">
        <v>1861</v>
      </c>
      <c r="B28" s="130">
        <v>45644.479097222225</v>
      </c>
      <c r="C28" s="131" t="s">
        <v>151</v>
      </c>
      <c r="D28" s="131" t="s">
        <v>205</v>
      </c>
      <c r="E28" s="131" t="s">
        <v>206</v>
      </c>
      <c r="F28" s="132"/>
      <c r="G28" s="133">
        <v>7</v>
      </c>
      <c r="H28" s="133"/>
      <c r="I28" s="133"/>
      <c r="J28" s="133"/>
      <c r="K28" s="132"/>
      <c r="L28" s="132"/>
      <c r="M28" s="132"/>
      <c r="N28" s="132"/>
      <c r="O28" s="132"/>
      <c r="P28" s="132"/>
      <c r="Q28" s="132"/>
      <c r="R28" s="132"/>
      <c r="S28" s="132"/>
      <c r="T28" s="132">
        <v>7</v>
      </c>
      <c r="U28" s="132"/>
      <c r="V28" s="134" t="s">
        <v>222</v>
      </c>
      <c r="W28" s="135">
        <v>45644.534687500003</v>
      </c>
    </row>
    <row r="29" spans="1:23" ht="17" x14ac:dyDescent="0.2">
      <c r="A29">
        <v>1854</v>
      </c>
      <c r="B29" s="130">
        <v>45643.488506944443</v>
      </c>
      <c r="C29" s="131" t="s">
        <v>151</v>
      </c>
      <c r="D29" s="131" t="s">
        <v>207</v>
      </c>
      <c r="E29" s="131" t="s">
        <v>236</v>
      </c>
      <c r="F29" s="132">
        <v>7</v>
      </c>
      <c r="G29" s="133">
        <v>4</v>
      </c>
      <c r="H29" s="133"/>
      <c r="I29" s="133">
        <v>5</v>
      </c>
      <c r="J29" s="133"/>
      <c r="K29" s="132"/>
      <c r="L29" s="132"/>
      <c r="M29" s="132"/>
      <c r="N29" s="132"/>
      <c r="O29" s="132"/>
      <c r="P29" s="132"/>
      <c r="Q29" s="132"/>
      <c r="R29" s="132"/>
      <c r="S29" s="132"/>
      <c r="T29" s="132">
        <v>16</v>
      </c>
      <c r="U29" s="132">
        <v>5</v>
      </c>
      <c r="V29" s="134" t="s">
        <v>73</v>
      </c>
      <c r="W29" s="135">
        <v>45646.443449074075</v>
      </c>
    </row>
    <row r="30" spans="1:23" ht="17" x14ac:dyDescent="0.2">
      <c r="A30">
        <v>1851</v>
      </c>
      <c r="B30" s="130">
        <v>45642.834849537037</v>
      </c>
      <c r="C30" s="131" t="s">
        <v>151</v>
      </c>
      <c r="D30" s="131" t="s">
        <v>208</v>
      </c>
      <c r="E30" s="131" t="s">
        <v>209</v>
      </c>
      <c r="F30" s="132">
        <v>8</v>
      </c>
      <c r="G30" s="133">
        <v>10</v>
      </c>
      <c r="H30" s="133"/>
      <c r="I30" s="133">
        <v>4</v>
      </c>
      <c r="J30" s="133">
        <v>4</v>
      </c>
      <c r="K30" s="132"/>
      <c r="L30" s="132"/>
      <c r="M30" s="132"/>
      <c r="N30" s="132"/>
      <c r="O30" s="132"/>
      <c r="P30" s="132"/>
      <c r="Q30" s="132"/>
      <c r="R30" s="132"/>
      <c r="S30" s="132"/>
      <c r="T30" s="132">
        <v>26</v>
      </c>
      <c r="U30" s="132">
        <v>8</v>
      </c>
      <c r="V30" s="134" t="s">
        <v>73</v>
      </c>
      <c r="W30" s="135">
        <v>45642.793182870373</v>
      </c>
    </row>
    <row r="31" spans="1:23" ht="17" x14ac:dyDescent="0.2">
      <c r="A31">
        <v>1845</v>
      </c>
      <c r="B31" s="130">
        <v>45642.795995370368</v>
      </c>
      <c r="C31" s="131" t="s">
        <v>151</v>
      </c>
      <c r="D31" s="131" t="s">
        <v>210</v>
      </c>
      <c r="E31" s="131" t="s">
        <v>211</v>
      </c>
      <c r="F31" s="132">
        <v>5</v>
      </c>
      <c r="G31" s="133">
        <v>3</v>
      </c>
      <c r="H31" s="133"/>
      <c r="I31" s="133"/>
      <c r="J31" s="133"/>
      <c r="K31" s="132">
        <v>4</v>
      </c>
      <c r="L31" s="132"/>
      <c r="M31" s="132"/>
      <c r="N31" s="132"/>
      <c r="O31" s="132"/>
      <c r="P31" s="132"/>
      <c r="Q31" s="132">
        <v>3</v>
      </c>
      <c r="R31" s="132">
        <v>1</v>
      </c>
      <c r="S31" s="132"/>
      <c r="T31" s="132">
        <v>16</v>
      </c>
      <c r="U31" s="132"/>
      <c r="V31" s="134" t="s">
        <v>73</v>
      </c>
      <c r="W31" s="135">
        <v>45642.754328703704</v>
      </c>
    </row>
    <row r="32" spans="1:23" ht="17" x14ac:dyDescent="0.2">
      <c r="A32">
        <v>1836</v>
      </c>
      <c r="B32" s="130">
        <v>45641.51630787037</v>
      </c>
      <c r="C32" s="131" t="s">
        <v>151</v>
      </c>
      <c r="D32" s="131" t="s">
        <v>153</v>
      </c>
      <c r="E32" s="131" t="s">
        <v>154</v>
      </c>
      <c r="F32" s="132">
        <v>14</v>
      </c>
      <c r="G32" s="133"/>
      <c r="H32" s="133"/>
      <c r="I32" s="133"/>
      <c r="J32" s="133"/>
      <c r="K32" s="132">
        <v>6</v>
      </c>
      <c r="L32" s="132"/>
      <c r="M32" s="132"/>
      <c r="N32" s="132"/>
      <c r="O32" s="132"/>
      <c r="P32" s="132"/>
      <c r="Q32" s="132">
        <v>4</v>
      </c>
      <c r="R32" s="132"/>
      <c r="S32" s="132"/>
      <c r="T32" s="132">
        <v>24</v>
      </c>
      <c r="U32" s="132"/>
      <c r="V32" s="134" t="s">
        <v>73</v>
      </c>
      <c r="W32" s="135">
        <v>45641.474641203706</v>
      </c>
    </row>
    <row r="33" spans="1:23" ht="17" x14ac:dyDescent="0.2">
      <c r="A33">
        <v>1831</v>
      </c>
      <c r="B33" s="130">
        <v>45639.378553240742</v>
      </c>
      <c r="C33" s="131" t="s">
        <v>151</v>
      </c>
      <c r="D33" s="131" t="s">
        <v>172</v>
      </c>
      <c r="E33" s="131" t="s">
        <v>168</v>
      </c>
      <c r="F33" s="132">
        <v>10</v>
      </c>
      <c r="G33" s="133">
        <v>3</v>
      </c>
      <c r="H33" s="133"/>
      <c r="I33" s="133">
        <v>6</v>
      </c>
      <c r="J33" s="133"/>
      <c r="K33" s="132"/>
      <c r="L33" s="132"/>
      <c r="M33" s="132"/>
      <c r="N33" s="132"/>
      <c r="O33" s="132"/>
      <c r="P33" s="132"/>
      <c r="Q33" s="132"/>
      <c r="R33" s="132"/>
      <c r="S33" s="132"/>
      <c r="T33" s="132">
        <v>19</v>
      </c>
      <c r="U33" s="132">
        <v>6</v>
      </c>
      <c r="V33" s="134" t="s">
        <v>73</v>
      </c>
      <c r="W33" s="135">
        <v>45639.336886574078</v>
      </c>
    </row>
    <row r="34" spans="1:23" ht="17" x14ac:dyDescent="0.2">
      <c r="A34">
        <v>1827</v>
      </c>
      <c r="B34" s="130">
        <v>45637.593124999999</v>
      </c>
      <c r="C34" s="131" t="s">
        <v>151</v>
      </c>
      <c r="D34" s="131" t="s">
        <v>179</v>
      </c>
      <c r="E34" s="131" t="s">
        <v>166</v>
      </c>
      <c r="F34" s="132"/>
      <c r="G34" s="133"/>
      <c r="H34" s="133"/>
      <c r="I34" s="133">
        <v>6</v>
      </c>
      <c r="J34" s="133"/>
      <c r="K34" s="132"/>
      <c r="L34" s="132"/>
      <c r="M34" s="132"/>
      <c r="N34" s="132"/>
      <c r="O34" s="132"/>
      <c r="P34" s="132"/>
      <c r="Q34" s="132"/>
      <c r="R34" s="132">
        <v>1</v>
      </c>
      <c r="S34" s="132">
        <v>5</v>
      </c>
      <c r="T34" s="132">
        <v>12</v>
      </c>
      <c r="U34" s="132">
        <v>11</v>
      </c>
      <c r="V34" s="134" t="s">
        <v>73</v>
      </c>
      <c r="W34" s="135">
        <v>45637.551458333335</v>
      </c>
    </row>
    <row r="35" spans="1:23" ht="17" x14ac:dyDescent="0.2">
      <c r="A35">
        <v>1824</v>
      </c>
      <c r="B35" s="130">
        <v>45637.575682870367</v>
      </c>
      <c r="C35" s="131" t="s">
        <v>151</v>
      </c>
      <c r="D35" s="131" t="s">
        <v>181</v>
      </c>
      <c r="E35" s="131" t="s">
        <v>159</v>
      </c>
      <c r="F35" s="132">
        <v>7</v>
      </c>
      <c r="G35" s="133"/>
      <c r="H35" s="133"/>
      <c r="I35" s="133"/>
      <c r="J35" s="133"/>
      <c r="K35" s="132"/>
      <c r="L35" s="132"/>
      <c r="M35" s="132"/>
      <c r="N35" s="132"/>
      <c r="O35" s="132"/>
      <c r="P35" s="132"/>
      <c r="Q35" s="132">
        <v>1</v>
      </c>
      <c r="R35" s="132"/>
      <c r="S35" s="132"/>
      <c r="T35" s="132">
        <v>8</v>
      </c>
      <c r="U35" s="132"/>
      <c r="V35" s="134" t="s">
        <v>73</v>
      </c>
      <c r="W35" s="135">
        <v>45637.534016203703</v>
      </c>
    </row>
    <row r="36" spans="1:23" ht="17" x14ac:dyDescent="0.2">
      <c r="A36">
        <v>1820</v>
      </c>
      <c r="B36" s="130">
        <v>45635.779479166667</v>
      </c>
      <c r="C36" s="131" t="s">
        <v>151</v>
      </c>
      <c r="D36" s="131" t="s">
        <v>175</v>
      </c>
      <c r="E36" s="131" t="s">
        <v>164</v>
      </c>
      <c r="F36" s="132">
        <v>8</v>
      </c>
      <c r="G36" s="133"/>
      <c r="H36" s="133"/>
      <c r="I36" s="133"/>
      <c r="J36" s="133"/>
      <c r="K36" s="132"/>
      <c r="L36" s="132"/>
      <c r="M36" s="132"/>
      <c r="N36" s="132"/>
      <c r="O36" s="132"/>
      <c r="P36" s="132"/>
      <c r="Q36" s="132"/>
      <c r="R36" s="132"/>
      <c r="S36" s="132"/>
      <c r="T36" s="132">
        <v>8</v>
      </c>
      <c r="U36" s="132"/>
      <c r="V36" s="134" t="s">
        <v>73</v>
      </c>
      <c r="W36" s="135">
        <v>45635.737812500003</v>
      </c>
    </row>
    <row r="37" spans="1:23" ht="17" x14ac:dyDescent="0.2">
      <c r="A37">
        <v>1817</v>
      </c>
      <c r="B37" s="130">
        <v>45634.985729166663</v>
      </c>
      <c r="C37" s="131" t="s">
        <v>151</v>
      </c>
      <c r="D37" s="131" t="s">
        <v>182</v>
      </c>
      <c r="E37" s="131" t="s">
        <v>150</v>
      </c>
      <c r="F37" s="132">
        <v>3</v>
      </c>
      <c r="G37" s="133"/>
      <c r="H37" s="133"/>
      <c r="I37" s="133"/>
      <c r="J37" s="133"/>
      <c r="K37" s="132"/>
      <c r="L37" s="132"/>
      <c r="M37" s="132"/>
      <c r="N37" s="132"/>
      <c r="O37" s="132"/>
      <c r="P37" s="132"/>
      <c r="Q37" s="132"/>
      <c r="R37" s="132"/>
      <c r="S37" s="132"/>
      <c r="T37" s="132">
        <v>3</v>
      </c>
      <c r="U37" s="132"/>
      <c r="V37" s="134" t="s">
        <v>73</v>
      </c>
      <c r="W37" s="135">
        <v>45634.944062499999</v>
      </c>
    </row>
    <row r="38" spans="1:23" ht="17" x14ac:dyDescent="0.2">
      <c r="A38">
        <v>1811</v>
      </c>
      <c r="B38" s="130">
        <v>45630.538402777776</v>
      </c>
      <c r="C38" s="131" t="s">
        <v>151</v>
      </c>
      <c r="D38" s="131" t="s">
        <v>185</v>
      </c>
      <c r="E38" s="131" t="s">
        <v>133</v>
      </c>
      <c r="F38" s="132">
        <v>9</v>
      </c>
      <c r="G38" s="133">
        <v>3</v>
      </c>
      <c r="H38" s="133"/>
      <c r="I38" s="133">
        <v>3</v>
      </c>
      <c r="J38" s="133"/>
      <c r="K38" s="132"/>
      <c r="L38" s="132"/>
      <c r="M38" s="132"/>
      <c r="N38" s="132"/>
      <c r="O38" s="132"/>
      <c r="P38" s="132"/>
      <c r="Q38" s="132"/>
      <c r="R38" s="132"/>
      <c r="S38" s="132"/>
      <c r="T38" s="132">
        <v>15</v>
      </c>
      <c r="U38" s="132">
        <v>3</v>
      </c>
      <c r="V38" s="134" t="s">
        <v>73</v>
      </c>
      <c r="W38" s="135">
        <v>45631.710057870368</v>
      </c>
    </row>
    <row r="39" spans="1:23" x14ac:dyDescent="0.2">
      <c r="A39" t="s">
        <v>79</v>
      </c>
      <c r="B39" s="127"/>
      <c r="C39" s="127">
        <f>SUBTOTAL(103,GKVI[GKVI])</f>
        <v>32</v>
      </c>
      <c r="D39" s="127"/>
      <c r="E39" s="127"/>
      <c r="F39" s="128">
        <f>SUBTOTAL(109,GKVI[Korps klassiek senioren])</f>
        <v>238</v>
      </c>
      <c r="G39" s="128">
        <f>SUBTOTAL(109,GKVI[Korps 1 klassiek junioren])</f>
        <v>77</v>
      </c>
      <c r="H39" s="128">
        <f>SUBTOTAL(109,GKVI[Korps 2 klassiek junioren])</f>
        <v>0</v>
      </c>
      <c r="I39" s="128">
        <f>SUBTOTAL(109,GKVI[Korps 1 klassiek aspiranten])</f>
        <v>63</v>
      </c>
      <c r="J39" s="128">
        <f>SUBTOTAL(109,GKVI[Korps 2 klassiek aspiranten])</f>
        <v>13</v>
      </c>
      <c r="K39" s="128">
        <f>SUBTOTAL(109,GKVI[Korps acrob. senioren])</f>
        <v>50</v>
      </c>
      <c r="L39" s="128">
        <f>SUBTOTAL(109,GKVI[Korps acrob. junioren])</f>
        <v>9</v>
      </c>
      <c r="M39" s="128">
        <f>SUBTOTAL(109,GKVI[Korps acrob. aspiranten])</f>
        <v>0</v>
      </c>
      <c r="N39" s="128"/>
      <c r="O39" s="128">
        <f>SUBTOTAL(109,GKVI[Korps show junioren])</f>
        <v>0</v>
      </c>
      <c r="P39" s="128">
        <f>SUBTOTAL(109,GKVI[Korps show aspiranten])</f>
        <v>0</v>
      </c>
      <c r="Q39" s="128">
        <f>SUBTOTAL(109,GKVI[Senioren])</f>
        <v>17</v>
      </c>
      <c r="R39" s="128">
        <f>SUBTOTAL(109,GKVI[Junioren])</f>
        <v>8</v>
      </c>
      <c r="S39" s="128">
        <f>SUBTOTAL(109,GKVI[Aspiranten])</f>
        <v>8</v>
      </c>
      <c r="T39" s="128">
        <f>SUBTOTAL(109,GKVI[Aantal deelnemers])</f>
        <v>483</v>
      </c>
      <c r="U39" s="128">
        <f>SUBTOTAL(109,GKVI[Hiervan is aspirant])</f>
        <v>84</v>
      </c>
      <c r="V39" s="129"/>
      <c r="W39"/>
    </row>
  </sheetData>
  <mergeCells count="10">
    <mergeCell ref="K5:M5"/>
    <mergeCell ref="N5:P5"/>
    <mergeCell ref="Q5:S5"/>
    <mergeCell ref="A1:Y1"/>
    <mergeCell ref="A2:Y2"/>
    <mergeCell ref="K4:M4"/>
    <mergeCell ref="N4:P4"/>
    <mergeCell ref="Q4:S4"/>
    <mergeCell ref="F4:J4"/>
    <mergeCell ref="F5:J5"/>
  </mergeCells>
  <phoneticPr fontId="2" type="noConversion"/>
  <pageMargins left="0.25" right="0.25" top="0.75" bottom="0.75" header="0.3" footer="0.3"/>
  <pageSetup paperSize="9" scale="49"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C9992-0072-43F1-83E6-036A14549315}">
  <dimension ref="A1:K26"/>
  <sheetViews>
    <sheetView zoomScale="110" zoomScaleNormal="110" workbookViewId="0">
      <selection activeCell="C7" sqref="C7"/>
    </sheetView>
  </sheetViews>
  <sheetFormatPr baseColWidth="10" defaultColWidth="8.83203125" defaultRowHeight="15" x14ac:dyDescent="0.2"/>
  <cols>
    <col min="1" max="1" width="8.33203125" bestFit="1" customWidth="1"/>
    <col min="2" max="2" width="9.1640625" bestFit="1" customWidth="1"/>
    <col min="3" max="3" width="58.83203125" bestFit="1" customWidth="1"/>
    <col min="4" max="4" width="13.1640625" style="1" bestFit="1" customWidth="1"/>
    <col min="5" max="5" width="18.83203125" style="1" bestFit="1" customWidth="1"/>
    <col min="6" max="6" width="13" style="1" bestFit="1" customWidth="1"/>
    <col min="7" max="7" width="14.6640625" bestFit="1" customWidth="1"/>
    <col min="8" max="8" width="23.6640625" bestFit="1" customWidth="1"/>
    <col min="9" max="9" width="13.33203125" bestFit="1" customWidth="1"/>
    <col min="10" max="11" width="15" bestFit="1" customWidth="1"/>
  </cols>
  <sheetData>
    <row r="1" spans="1:11" ht="24" x14ac:dyDescent="0.3">
      <c r="C1" s="172" t="s">
        <v>146</v>
      </c>
      <c r="D1" s="172"/>
      <c r="E1" s="172"/>
      <c r="F1" s="172"/>
      <c r="G1" s="172"/>
    </row>
    <row r="2" spans="1:11" ht="16" x14ac:dyDescent="0.2">
      <c r="C2" s="173" t="s">
        <v>147</v>
      </c>
      <c r="D2" s="173"/>
      <c r="E2" s="173"/>
      <c r="F2" s="173"/>
      <c r="G2" s="173"/>
    </row>
    <row r="3" spans="1:11" ht="16" x14ac:dyDescent="0.2">
      <c r="C3" s="48"/>
      <c r="D3" s="48"/>
      <c r="E3" s="48"/>
      <c r="F3" s="48"/>
      <c r="G3" s="48"/>
    </row>
    <row r="4" spans="1:11" ht="17" x14ac:dyDescent="0.2">
      <c r="A4" s="49"/>
      <c r="B4" s="49" t="s">
        <v>101</v>
      </c>
      <c r="C4" s="49"/>
      <c r="D4" s="50" t="s">
        <v>194</v>
      </c>
      <c r="E4" s="50" t="s">
        <v>195</v>
      </c>
      <c r="F4" s="50" t="s">
        <v>195</v>
      </c>
      <c r="G4" s="50" t="s">
        <v>195</v>
      </c>
      <c r="H4" s="49"/>
      <c r="I4" s="49"/>
      <c r="J4" s="81"/>
      <c r="K4" s="81"/>
    </row>
    <row r="5" spans="1:11" x14ac:dyDescent="0.2">
      <c r="A5" s="2" t="s">
        <v>102</v>
      </c>
      <c r="B5" s="2" t="s">
        <v>90</v>
      </c>
      <c r="C5" s="2" t="s">
        <v>19</v>
      </c>
      <c r="D5" s="5" t="s">
        <v>38</v>
      </c>
      <c r="E5" s="5" t="s">
        <v>111</v>
      </c>
      <c r="F5" s="5" t="s">
        <v>39</v>
      </c>
      <c r="G5" s="5" t="s">
        <v>40</v>
      </c>
      <c r="H5" s="2" t="s">
        <v>103</v>
      </c>
      <c r="I5" s="2" t="s">
        <v>51</v>
      </c>
      <c r="J5" s="2" t="s">
        <v>52</v>
      </c>
      <c r="K5" s="2" t="s">
        <v>108</v>
      </c>
    </row>
    <row r="6" spans="1:11" x14ac:dyDescent="0.2">
      <c r="A6" s="15" t="s">
        <v>152</v>
      </c>
      <c r="B6" s="15" t="s">
        <v>345</v>
      </c>
      <c r="C6" s="15" t="s">
        <v>346</v>
      </c>
      <c r="D6" s="16">
        <v>4</v>
      </c>
      <c r="E6" s="84"/>
      <c r="F6" s="16"/>
      <c r="G6" s="16"/>
      <c r="H6" s="15" t="s">
        <v>73</v>
      </c>
      <c r="I6" s="15" t="s">
        <v>347</v>
      </c>
      <c r="J6" s="59">
        <v>45656.486979166664</v>
      </c>
      <c r="K6" s="85">
        <v>45656.4453125</v>
      </c>
    </row>
    <row r="7" spans="1:11" x14ac:dyDescent="0.2">
      <c r="A7" s="15" t="s">
        <v>152</v>
      </c>
      <c r="B7" s="15" t="s">
        <v>329</v>
      </c>
      <c r="C7" s="15" t="s">
        <v>330</v>
      </c>
      <c r="D7" s="16">
        <v>4</v>
      </c>
      <c r="E7" s="84"/>
      <c r="F7" s="16"/>
      <c r="G7" s="16">
        <v>1</v>
      </c>
      <c r="H7" s="15" t="s">
        <v>73</v>
      </c>
      <c r="I7" s="15" t="s">
        <v>339</v>
      </c>
      <c r="J7" s="59">
        <v>45655.683819444443</v>
      </c>
      <c r="K7" s="85">
        <v>45655.656747685185</v>
      </c>
    </row>
    <row r="8" spans="1:11" x14ac:dyDescent="0.2">
      <c r="A8" s="15" t="s">
        <v>152</v>
      </c>
      <c r="B8" s="15" t="s">
        <v>326</v>
      </c>
      <c r="C8" s="15" t="s">
        <v>327</v>
      </c>
      <c r="D8" s="16">
        <v>2</v>
      </c>
      <c r="E8" s="84"/>
      <c r="F8" s="16"/>
      <c r="G8" s="16"/>
      <c r="H8" s="15" t="s">
        <v>73</v>
      </c>
      <c r="I8" s="15" t="s">
        <v>340</v>
      </c>
      <c r="J8" s="59">
        <v>45655.552615740744</v>
      </c>
      <c r="K8" s="85">
        <v>45655.510949074072</v>
      </c>
    </row>
    <row r="9" spans="1:11" x14ac:dyDescent="0.2">
      <c r="A9" s="15" t="s">
        <v>152</v>
      </c>
      <c r="B9" s="15" t="s">
        <v>323</v>
      </c>
      <c r="C9" s="15" t="s">
        <v>324</v>
      </c>
      <c r="D9" s="16">
        <v>2</v>
      </c>
      <c r="E9" s="84"/>
      <c r="F9" s="16"/>
      <c r="G9" s="16"/>
      <c r="H9" s="15" t="s">
        <v>73</v>
      </c>
      <c r="I9" s="15" t="s">
        <v>328</v>
      </c>
      <c r="J9" s="59">
        <v>45655.489212962966</v>
      </c>
      <c r="K9" s="85">
        <v>45655.447546296295</v>
      </c>
    </row>
    <row r="10" spans="1:11" x14ac:dyDescent="0.2">
      <c r="A10" s="15" t="s">
        <v>152</v>
      </c>
      <c r="B10" s="15" t="s">
        <v>318</v>
      </c>
      <c r="C10" s="15" t="s">
        <v>319</v>
      </c>
      <c r="D10" s="16">
        <v>3</v>
      </c>
      <c r="E10" s="84"/>
      <c r="F10" s="16"/>
      <c r="G10" s="16"/>
      <c r="H10" s="15" t="s">
        <v>73</v>
      </c>
      <c r="I10" s="15" t="s">
        <v>320</v>
      </c>
      <c r="J10" s="59">
        <v>45653.890081018515</v>
      </c>
      <c r="K10" s="85">
        <v>45653.848414351851</v>
      </c>
    </row>
    <row r="11" spans="1:11" x14ac:dyDescent="0.2">
      <c r="A11" s="15" t="s">
        <v>152</v>
      </c>
      <c r="B11" s="15" t="s">
        <v>314</v>
      </c>
      <c r="C11" s="15" t="s">
        <v>315</v>
      </c>
      <c r="D11" s="16">
        <v>4</v>
      </c>
      <c r="E11" s="84"/>
      <c r="F11" s="16"/>
      <c r="G11" s="16"/>
      <c r="H11" s="15" t="s">
        <v>73</v>
      </c>
      <c r="I11" s="15" t="s">
        <v>321</v>
      </c>
      <c r="J11" s="59">
        <v>45653.868344907409</v>
      </c>
      <c r="K11" s="85">
        <v>45653.826678240737</v>
      </c>
    </row>
    <row r="12" spans="1:11" x14ac:dyDescent="0.2">
      <c r="A12" s="15" t="s">
        <v>152</v>
      </c>
      <c r="B12" s="15" t="s">
        <v>309</v>
      </c>
      <c r="C12" s="15" t="s">
        <v>310</v>
      </c>
      <c r="D12" s="16">
        <v>2</v>
      </c>
      <c r="E12" s="84">
        <v>1</v>
      </c>
      <c r="F12" s="16">
        <v>1</v>
      </c>
      <c r="G12" s="16"/>
      <c r="H12" s="15" t="s">
        <v>73</v>
      </c>
      <c r="I12" s="15" t="s">
        <v>313</v>
      </c>
      <c r="J12" s="59">
        <v>45653.785717592589</v>
      </c>
      <c r="K12" s="85">
        <v>45653.744050925925</v>
      </c>
    </row>
    <row r="13" spans="1:11" x14ac:dyDescent="0.2">
      <c r="A13" s="15" t="s">
        <v>152</v>
      </c>
      <c r="B13" s="15" t="s">
        <v>288</v>
      </c>
      <c r="C13" s="15" t="s">
        <v>289</v>
      </c>
      <c r="D13" s="16">
        <v>8</v>
      </c>
      <c r="E13" s="84">
        <v>4</v>
      </c>
      <c r="F13" s="16"/>
      <c r="G13" s="16">
        <v>2</v>
      </c>
      <c r="H13" s="15" t="s">
        <v>73</v>
      </c>
      <c r="I13" s="15" t="s">
        <v>298</v>
      </c>
      <c r="J13" s="59">
        <v>45652.545613425929</v>
      </c>
      <c r="K13" s="85">
        <v>45652.503946759258</v>
      </c>
    </row>
    <row r="14" spans="1:11" x14ac:dyDescent="0.2">
      <c r="A14" s="15" t="s">
        <v>152</v>
      </c>
      <c r="B14" s="15" t="s">
        <v>278</v>
      </c>
      <c r="C14" s="15" t="s">
        <v>279</v>
      </c>
      <c r="D14" s="16">
        <v>3</v>
      </c>
      <c r="E14" s="84"/>
      <c r="F14" s="16"/>
      <c r="G14" s="16"/>
      <c r="H14" s="15" t="s">
        <v>73</v>
      </c>
      <c r="I14" s="15" t="s">
        <v>285</v>
      </c>
      <c r="J14" s="59">
        <v>45649.797476851854</v>
      </c>
      <c r="K14" s="85">
        <v>45649.755810185183</v>
      </c>
    </row>
    <row r="15" spans="1:11" x14ac:dyDescent="0.2">
      <c r="A15" s="15" t="s">
        <v>152</v>
      </c>
      <c r="B15" s="15" t="s">
        <v>271</v>
      </c>
      <c r="C15" s="15" t="s">
        <v>272</v>
      </c>
      <c r="D15" s="16">
        <v>5</v>
      </c>
      <c r="E15" s="84"/>
      <c r="F15" s="16"/>
      <c r="G15" s="16"/>
      <c r="H15" s="15" t="s">
        <v>73</v>
      </c>
      <c r="I15" s="15" t="s">
        <v>275</v>
      </c>
      <c r="J15" s="59">
        <v>45649.741562499999</v>
      </c>
      <c r="K15" s="85">
        <v>45649.699895833335</v>
      </c>
    </row>
    <row r="16" spans="1:11" x14ac:dyDescent="0.2">
      <c r="A16" s="15" t="s">
        <v>152</v>
      </c>
      <c r="B16" s="15" t="s">
        <v>269</v>
      </c>
      <c r="C16" s="15" t="s">
        <v>270</v>
      </c>
      <c r="D16" s="16">
        <v>5</v>
      </c>
      <c r="E16" s="84"/>
      <c r="F16" s="16">
        <v>2</v>
      </c>
      <c r="G16" s="16"/>
      <c r="H16" s="15" t="s">
        <v>73</v>
      </c>
      <c r="I16" s="15" t="s">
        <v>276</v>
      </c>
      <c r="J16" s="59">
        <v>45649.612858796296</v>
      </c>
      <c r="K16" s="85">
        <v>45649.571192129632</v>
      </c>
    </row>
    <row r="17" spans="1:11" x14ac:dyDescent="0.2">
      <c r="A17" s="15" t="s">
        <v>152</v>
      </c>
      <c r="B17" s="15" t="s">
        <v>185</v>
      </c>
      <c r="C17" s="15" t="s">
        <v>133</v>
      </c>
      <c r="D17" s="16">
        <v>2</v>
      </c>
      <c r="E17" s="84">
        <v>1</v>
      </c>
      <c r="F17" s="16"/>
      <c r="G17" s="16"/>
      <c r="H17" s="15" t="s">
        <v>73</v>
      </c>
      <c r="I17" s="15" t="s">
        <v>277</v>
      </c>
      <c r="J17" s="59">
        <v>45649.436307870368</v>
      </c>
      <c r="K17" s="85">
        <v>45655.580601851849</v>
      </c>
    </row>
    <row r="18" spans="1:11" x14ac:dyDescent="0.2">
      <c r="A18" s="15" t="s">
        <v>152</v>
      </c>
      <c r="B18" s="15" t="s">
        <v>262</v>
      </c>
      <c r="C18" s="15" t="s">
        <v>263</v>
      </c>
      <c r="D18" s="16">
        <v>10</v>
      </c>
      <c r="E18" s="84"/>
      <c r="F18" s="16">
        <v>1</v>
      </c>
      <c r="G18" s="16"/>
      <c r="H18" s="15" t="s">
        <v>73</v>
      </c>
      <c r="I18" s="15" t="s">
        <v>267</v>
      </c>
      <c r="J18" s="59">
        <v>45648.891724537039</v>
      </c>
      <c r="K18" s="85">
        <v>45648.850057870368</v>
      </c>
    </row>
    <row r="19" spans="1:11" x14ac:dyDescent="0.2">
      <c r="A19" s="15" t="s">
        <v>152</v>
      </c>
      <c r="B19" s="15" t="s">
        <v>244</v>
      </c>
      <c r="C19" s="15" t="s">
        <v>245</v>
      </c>
      <c r="D19" s="16">
        <v>3</v>
      </c>
      <c r="E19" s="84"/>
      <c r="F19" s="16"/>
      <c r="G19" s="16"/>
      <c r="H19" s="15" t="s">
        <v>73</v>
      </c>
      <c r="I19" s="15" t="s">
        <v>256</v>
      </c>
      <c r="J19" s="59">
        <v>45647.423356481479</v>
      </c>
      <c r="K19" s="85">
        <v>45647.381689814814</v>
      </c>
    </row>
    <row r="20" spans="1:11" x14ac:dyDescent="0.2">
      <c r="A20" s="15" t="s">
        <v>152</v>
      </c>
      <c r="B20" s="15" t="s">
        <v>231</v>
      </c>
      <c r="C20" s="15" t="s">
        <v>232</v>
      </c>
      <c r="D20" s="16">
        <v>5</v>
      </c>
      <c r="E20" s="84"/>
      <c r="F20" s="16"/>
      <c r="G20" s="16"/>
      <c r="H20" s="15" t="s">
        <v>73</v>
      </c>
      <c r="I20" s="15" t="s">
        <v>240</v>
      </c>
      <c r="J20" s="59">
        <v>45645.468182870369</v>
      </c>
      <c r="K20" s="85">
        <v>45645.426516203705</v>
      </c>
    </row>
    <row r="21" spans="1:11" x14ac:dyDescent="0.2">
      <c r="A21" s="15" t="s">
        <v>152</v>
      </c>
      <c r="B21" s="15" t="s">
        <v>228</v>
      </c>
      <c r="C21" s="15" t="s">
        <v>229</v>
      </c>
      <c r="D21" s="16">
        <v>5</v>
      </c>
      <c r="E21" s="84"/>
      <c r="F21" s="16"/>
      <c r="G21" s="16"/>
      <c r="H21" s="15" t="s">
        <v>73</v>
      </c>
      <c r="I21" s="15" t="s">
        <v>230</v>
      </c>
      <c r="J21" s="59">
        <v>45644.86383101852</v>
      </c>
      <c r="K21" s="85">
        <v>45644.822164351855</v>
      </c>
    </row>
    <row r="22" spans="1:11" x14ac:dyDescent="0.2">
      <c r="A22" s="15" t="s">
        <v>152</v>
      </c>
      <c r="B22" s="15" t="s">
        <v>186</v>
      </c>
      <c r="C22" s="15" t="s">
        <v>187</v>
      </c>
      <c r="D22" s="16">
        <v>5</v>
      </c>
      <c r="E22" s="84"/>
      <c r="F22" s="16"/>
      <c r="G22" s="16"/>
      <c r="H22" s="15" t="s">
        <v>73</v>
      </c>
      <c r="I22" s="15" t="s">
        <v>223</v>
      </c>
      <c r="J22" s="59">
        <v>45642.835046296299</v>
      </c>
      <c r="K22" s="85">
        <v>45642.793379629627</v>
      </c>
    </row>
    <row r="23" spans="1:11" x14ac:dyDescent="0.2">
      <c r="A23" s="15" t="s">
        <v>152</v>
      </c>
      <c r="B23" s="15" t="s">
        <v>200</v>
      </c>
      <c r="C23" s="15" t="s">
        <v>201</v>
      </c>
      <c r="D23" s="16">
        <v>6</v>
      </c>
      <c r="E23" s="84"/>
      <c r="F23" s="16"/>
      <c r="G23" s="16"/>
      <c r="H23" s="15" t="s">
        <v>73</v>
      </c>
      <c r="I23" s="15" t="s">
        <v>202</v>
      </c>
      <c r="J23" s="59">
        <v>45641.871018518519</v>
      </c>
      <c r="K23" s="85">
        <v>45641.829351851855</v>
      </c>
    </row>
    <row r="24" spans="1:11" x14ac:dyDescent="0.2">
      <c r="A24" s="15" t="s">
        <v>152</v>
      </c>
      <c r="B24" s="15" t="s">
        <v>153</v>
      </c>
      <c r="C24" s="15" t="s">
        <v>154</v>
      </c>
      <c r="D24" s="16">
        <v>5</v>
      </c>
      <c r="E24" s="84"/>
      <c r="F24" s="16"/>
      <c r="G24" s="16"/>
      <c r="H24" s="15" t="s">
        <v>73</v>
      </c>
      <c r="I24" s="15" t="s">
        <v>191</v>
      </c>
      <c r="J24" s="59">
        <v>45641.534641203703</v>
      </c>
      <c r="K24" s="85">
        <v>45641.492974537039</v>
      </c>
    </row>
    <row r="25" spans="1:11" x14ac:dyDescent="0.2">
      <c r="A25" s="15" t="s">
        <v>152</v>
      </c>
      <c r="B25" s="15" t="s">
        <v>172</v>
      </c>
      <c r="C25" s="15" t="s">
        <v>168</v>
      </c>
      <c r="D25" s="16">
        <v>11</v>
      </c>
      <c r="E25" s="84"/>
      <c r="F25" s="16"/>
      <c r="G25" s="16">
        <v>4</v>
      </c>
      <c r="H25" s="15" t="s">
        <v>73</v>
      </c>
      <c r="I25" s="15" t="s">
        <v>173</v>
      </c>
      <c r="J25" s="59">
        <v>45639.397199074076</v>
      </c>
      <c r="K25" s="85">
        <v>45639.355532407404</v>
      </c>
    </row>
    <row r="26" spans="1:11" x14ac:dyDescent="0.2">
      <c r="A26" s="15" t="s">
        <v>79</v>
      </c>
      <c r="B26" s="15"/>
      <c r="C26" s="15">
        <f>SUBTOTAL(103,Bielemantreffen_2[Naam vereniging])</f>
        <v>20</v>
      </c>
      <c r="D26" s="16">
        <f>SUBTOTAL(109,Bielemantreffen_2[Senioren])</f>
        <v>94</v>
      </c>
      <c r="E26" s="16">
        <f>SUBTOTAL(109,Bielemantreffen_2[Jong volwassene])</f>
        <v>6</v>
      </c>
      <c r="F26" s="16">
        <f>SUBTOTAL(109,Bielemantreffen_2[Junioren])</f>
        <v>4</v>
      </c>
      <c r="G26" s="16">
        <f>SUBTOTAL(109,Bielemantreffen_2[Aspiranten])</f>
        <v>7</v>
      </c>
      <c r="H26" s="15"/>
      <c r="I26" s="15"/>
      <c r="J26" s="15"/>
    </row>
  </sheetData>
  <mergeCells count="2">
    <mergeCell ref="C1:G1"/>
    <mergeCell ref="C2:G2"/>
  </mergeCells>
  <phoneticPr fontId="2"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f a b a f f 3 d - 9 7 2 8 - 4 d 6 c - 9 3 3 c - 4 7 b a 3 6 5 c d 1 1 9 "   x m l n s = " h t t p : / / s c h e m a s . m i c r o s o f t . c o m / D a t a M a s h u p " > A A A A A C e / A A B Q S w M E F A A A C A g A q 5 g h W s E + X u i k A A A A 9 w A A A B I A A A B D b 2 5 m a W c v U G F j a 2 F n Z S 5 4 b W y F j 7 0 O g j A c x F + F d K d f L I S U O r i C M T E x r k 2 p 0 A h / D C 2 W d 3 P w k X w F M Y q 6 O d 7 d 7 5 K 7 + / U m V l P X R h c z O N t D j h i m K D K g + 8 p C n a P R H + M U r a T Y K n 1 S t Y l m G F w 2 O Z u j x v t z R k g I A Y c E 9 0 N N O K W M H M p i p x v T q d i C 8 w q 0 Q Z 9 W 9 b + F p N i / x k i O W Z J i R n m K q S C L K 0 o L X 4 L P g 5 / p j y n W Y + v H w U h o 4 0 0 h y C I F e Z + Q D 1 B L A w Q U A A A I C A C r m C F a M A u x Z X 6 8 A A A U E Q Y A E w A A A E Z v c m 1 1 b G F z L 1 N l Y 3 R p b 2 4 x L m 3 s v W F v I z e S B v w 9 w P s f B L 8 f 3 g n g 2 C J b 3 a 3 e Q x A 4 8 W Y y n k w m F 2 c T 4 A 6 L h W x 3 P B r L 0 k C S n c 0 O 7 g f d 7 7 g / 9 p L d U j f J e q r I l i d 3 u 8 H s h 8 1 Y Z L O q W M V i s Y q s 2 t T X 2 / l q O b p s / 6 v + 7 Z N P N m 9 m 6 / p m 9 P L 8 1 e j z 0 a L e f j I y / / t y b T p 9 P v p q 8 3 h y v r p + u K + X 2 2 d f z x f 1 y V e r 5 d b 8 s X l 2 d P q X T b 3 e n G 7 f 1 l d X t T r 9 d n 6 1 n q 1 / O / 1 q s X q 4 u d y u 1 r P b + v T 1 s j 5 f z x / r z 7 6 u b + r 1 b D u v H 2 f L 5 / X C / L G p L 6 / f P G y 3 5 l + 3 c / P D s l 7 u f 5 i / N f / e n n z z c F W v t w + b 0 + e m c T 1 b j D 4 b v f j R g P 9 1 f n d X L + b L 2 9 M X y 8 3 1 G 9 P 9 0 f x R L 0 / 1 W O e n 1 5 v H 0 V W 9 2 c 6 W Z s z T l 2 v T d D O z r Y Z A 2 + H E d D j 6 9 H j 0 n + d m j P u 5 A W f o P D o + O h 5 9 t V o 8 3 C 8 3 5 s 8 y 0 8 e j P y + v V z f m a / N 3 k Y / H 6 q + f H j d T 8 / 8 e f V P P L A G j + 3 o 7 e q z X b 1 a r 2 5 v R 0 p A 5 e z g y v X + c X Z m J + n 6 9 u l 9 t 6 1 3 f Z 3 Z C D d D d r 2 e L x e X 1 b D F b b z 7 f r h / q f u g f f 3 t X j 2 7 r X + d v / z G / v e l H + 3 E 9 W 2 5 + W a 3 v W y R t t 8 0 z G Z P j 0 f v 3 R y + W / 6 i X l o r P X p y b X 1 4 s t 8 X k x H 7 9 X 6 Z 5 1 3 o z 2 z 7 c m 8 a t h W 3 + q L f z + 7 b 9 3 P w x + s s 7 + 9 s N 7 P D i e 4 P s 1 f p h f l e v 6 f D 7 y d 9 / u q 3 / v m 0 a z h a 3 9 X 1 d L 7 8 g L T 8 Z f O r F r / X N Z m v 4 e s N 3 q Z e j u 8 V s s 5 n X d 0 K X 2 f V 6 d W X E z o h J W q / R T b 2 d z R c b o f f m z e p X 2 v z q 4 R 8 G l Z G I O e 3 D g / t y b o D d z 5 b y i F 2 v T b 2 c r 9 Z J X R J g v n 2 I j r b v k j D a b P N u b s R 3 K 4 7 X d + J H f D V 7 a 0 A a D R G Z Z t R N G n V 9 V z c 6 z e g C c W C j n + Y 1 J O P b h + s 3 W 7 N s 6 3 r N N L 6 b b 7 a r 1 Y K 2 v j S r Z 3 N l F i 5 t + s b o M N z i w B u 9 r R 9 u b 5 C 8 G u 7 M b 8 0 K 3 C w f 7 u + b 9 e n 3 + G 4 2 u 7 d a Y 9 e N t P / 5 s 3 s z Y 7 O b d b 0 h b b o e S c 0 v V / f b 0 c N o t l i Y V d 5 o p 7 p h w a K + t Z v A 6 H G 1 W o / e m J / v V k u L 4 W 5 i m R V z t 1 q / 2 4 y 2 D V e M r j N a c 9 S M 9 s t 8 8 T / / T b 4 5 X 1 l w 6 9 F y N t t s G y B G L f 5 y 0 w 5 i f 1 / d N t g Y E t r f j C b 6 g i q v 8 7 p e L G f 3 d T u / E T z P 5 0 Z + 7 O A N u X v 5 a 4 e / r d 8 + r A 2 j b k Z W I l d r K 4 x 7 W m 7 q h h x R 6 n 6 u F 3 f B m L R T w 8 u G z u v V v V l P N 2 Y p U S z 3 J N 0 3 0 + p A 5 b s + 7 t Q e 3 + N q t 4 S T h u v o S O z t L E 0 q Z V 2 / Z l J Y 5 j z 7 6 e X L y 0 + N y d N q L N h + 8 e n o Y q / R t q f 3 I 1 W O 3 s 5 m d M 3 s + p 6 Z 6 T U G S Q O 3 G T E Q H t v t z H T r l V o z q O I H P U s a 9 C x C x 9 k A O s 4 G I X g Z g X w 5 A P L l E M g v I j Q 3 7 e 3 U o S l 7 M W B K m r 7 S U M P w P p M H 6 9 D u d + b 5 s t F X 7 9 a r X 8 y i Y j / 7 0 u j s O 7 M u R 7 P 2 + 9 W 7 2 / q 2 f q z 7 P Z 5 + + p P R u E Y j 3 h N M z 8 x O U u O m H b h u m d l O I 8 W P / T c l j P 4 3 n T a + F s b P p P E n a e N n w v i 5 N H 6 R N v 5 E G L + U x p + m j Z 8 L 4 1 f S + G q c B q C Q G C x y W C W y u J Q g i D x W i U y e S h B E L q t E N l c S B J H P K p H R D b + w P t v p j c 4 G T 9 E b F 5 L e 2 I 8 k E d U J l z 0 B k s W N h e t i i P b Q S o S A h Y t A k P S H z k Q I W L g I B E m D 6 F y E g I W L Q J B 0 i C 5 F C F i 4 C A R J i 2 i R 0 1 k i p y U 1 k o m c z h I 5 L a m R T O R 0 l s h p S Y 1 k I q e z R E 5 L a i Q T O Z 0 l c p p T I 7 3 B 6 R y 9 U x T J m a R I + r E k w s R 9 a o I F 7 G y I K p m I + 9 Q E C x i B I K m S i W y L Y A E j E C R V M h H 3 q Q k W M A J B U i U T c Z + a Y A E j E C R V M h E 5 n S d y W l I l u c j p P J H T k i r J R U 7 n i Z y W V E k u c j p P 5 L S k S n K R 0 3 k i p 5 E q 6 X r 0 T h b + n L 5 3 u W D 3 x e N s G b h r S L / / a J T N a L u u r R d l t t i M n v W 9 P y X d f 1 q t 2 2 G 3 v 9 a 9 1 2 N t V J f 8 n Q X z M N / e r e 5 b n X h T / 0 n + 4 F U 3 t E r t q O W O L x v f U R P I m G 0 t M q O T k x O D i J n J + t 6 6 / I O v A 7 Y 0 E z p f b r b r h + t t / b C W g T W 9 b + b r + a 1 1 Y 8 W 7 b m f 3 V 6 t 6 b R 2 A h h U J H + x Z y w o A Y O y + 7 z C 2 8 l 9 B p v L d P Z a m d N N S t z g 7 3 W + j z O Q B e a y M 9 Q v 5 y H d / 9 u U L 9 4 A C f H 6 u 7 w F 9 G / g 6 g G 3 x 5 c X P E R B v V 8 v b 0 e N q 8 e t s Y 8 a p A S Q 7 x P 5 0 R D o T g C 8 u Y g A f e J r o O Q y C O I u A 8 C w m A g R Z a R D M I d 6 k 5 q u n O J P + l o v 7 e w H 2 9 w b m 8 / r K j L C t m 8 g j P Q s E w h a 1 9 g r R B i i A D U C x 0 E l Y S B Z h I d o J B b A T K B b 0 1 I K w k K z G Q v Z h A V u C Y j F J w k K y L A v R 3 i i A v U G x o O c r h I V k f R a i d J Z J 0 l k k Y S F Z q K U o n W W S d N K T I M J C s m J L U T r L J O m c J m E h W b q l K J 1 l k n R S 7 w T C Q r K G S 1 E 6 y y T p 7 L 2 p s t o C J n O P h y i f 0 z T t m a g + J f 0 5 F S V 0 m i S h K k 2 B K k m D T k U Z n S b J q E p T o U r S o V N R S q d J U q r S l K i S t O h U j h e k y W m a G l V A j 0 r W V I J x Y T 8 W P M 4 x 6 6 y f B X G V V G i V W N B R G 8 O z N q M 2 R i W u k Q q t E Y I F W i I U C 2 m F V O I K q d A K I V i g B U K x k N Z H J a 6 P C q 0 P g g V a H h Q L a X V U 4 u q o 0 O o g W K D F Q b E Q Q 2 6 R m F u S e C I j g 6 I h B u b G c m R u n C S g y M y g e I j h u 7 E c v x s n i S g y N C g e Y p B v L E f 5 x k l C i k w N i o c Y C h z L s c B x k p h C Y w P o L 8 n Y U G N Z U l F 4 G G B C x Q x i Q r s 5 M W R Z V F E U G S D C 9 Q L 2 B o u I L K s o 2 A w Q o Y N A R G g 3 B x F Z W F F M G i D C o Q s s D h Y R W V p R 6 B o g Q q m B i K B u w K u S 4 s d 4 c n B b y Y s D h b c b q H F P R t P J 3 k 2 7 2 9 p b i 7 f 1 q v 7 F o M m M N + C u j Y 7 c x Y B m e 4 g y t N o Z l M 2 Y S N Y p 2 p I F o 0 C U 3 U O b k 4 q 4 n 4 R H G 1 r s g + L 6 S s s r A 8 X d K d r w T M C j T W U S o S 3 Z S A p E 6 1 2 0 M 6 T O C d r w C M G i j c L 3 A G 3 J q F K Z r J l R / J 6 i z X G d Q Z s T P G q E c d o T B P 0 9 r K k I A a z 5 T h B r T u 6 o y c Z i L a s + F I 6 n W P P i j 7 A G 4 X m E N R 2 0 x x r E 8 D 2 s O U 2 F 7 b s 0 r D m p o + Y g i 7 W 8 0 a O g P t h m e I 5 A t D m J A s Y j i z d l h Y c 3 P 5 E x 2 5 H H G 9 0 O Q H h L p q Z 8 O 0 C h 6 w E A b 7 4 X x D t t k x Q t U 3 C r w M M 7 a Z O E l q m A d 9 o u K R q y 8 j 0 D h S 4 a A L x 5 7 Q 7 x T t s m R b s X R K q 8 O 6 F J 2 y R r 0 G K 8 c V y K 4 g 1 H P e z 2 V v P d E y 9 v K T n O p X C g 6 y z F V D 5 L N 5 U H 3 Q Z T c l B M 4 a h Y i D I 0 l R m U z Z h Q 6 w 6 6 Y q Z A n M x D G w p + i D Y 0 l V m 0 c V B s 0 L 0 1 J Q e 8 F I 5 4 h W h D U 5 l H G 6 q 6 Q Z f h F I i B e W h z 6 x C b y q Q T R J s T P G o q c 5 p L j m U p H M w K s e b l H 2 L N y V 2 6 p Q x i W 9 4 N e a h v Q 6 y 5 F Y a x x m E s e B O Q x V r W f D h A F W L N M w R i z Q l U u q U M 4 l U e 1 v w 0 x i x l H m u O y H R L W Y 7 6 K B j 2 o b s M 3 w u h D W I 8 c K u R L G U Q C f L w 5 h R V g q X M 4 8 0 J 3 g B L W Y 7 p K B j U o X j z q h 3 i n b Z H i p Y y i P N 4 e C f t k d h S 5 v D W M K g D 8 B Y s Z S 3 H a z S M 1 1 C 8 e Y 0 D 8 U 7 b J S V L W Y M A j o d 3 0 i 7 J 2 r Q M 3 m n b J P K i t y b u 7 X p V v 6 u X p r W e 3 W + O z e i b + v 5 q U b f v y B 9 W / 9 9 G M A y 0 H M L R I I T j f C u q M S 2 p E i 3 H S T R Y F j + v 1 j f N M / R d U g 7 z 3 / v Z z E y n v S x 7 X 1 + / m S 1 t k o v 9 n V n 6 j P z 1 8 q Z e 2 1 u p I w q 7 S R l T j 1 b 7 L r T H t 3 X 9 i 3 3 Z v r k 2 N t v t a i 3 3 7 m B R O k J Q t I c E i v b u Q N E F E I K i P S R Q t H c H i q 6 T E B T t I Y G i v T t Q V O 5 D U L S H B I r 2 7 k D R l R i C o j 0 k U L R 3 B 4 q u u h A U 7 S G B o r 0 7 U H Q F h 6 B o D w k U M H 9 e O e 8 2 u y Q I m 9 E z / 8 w O L n + 3 X / K H 9 n 4 w S Y f J o U 6 N N p I G b u z Q / s p 7 c N b h g o 7 j Q V 9 D S D 9 h o 2 f 3 N k O G I X J 0 V z / 8 w 0 z M / e q 2 X s z f 3 q H b / x 1 R o s 2 i U d i U E g W O 9 R x R 4 L B + I F E G O e G g o U G c 1 S M M G D W U M H D w 5 w g D x / m D C Q O h 0 p 4 w O W a p U c y S E g Z c A x x h 4 M B / O G G S O S d H N T W K a l L C Q J y N I w x d 1 z u Y M O G k r u W 4 p 0 Z x T 0 o Y u N / E E Q Y u O R 1 O m H D A 1 H J k V K P I K C U M X J j i C A O 3 p g 4 m D I R Y H c J k V Y 9 i p 5 Q w c A O L I w x c w z q c M M H V p e X w q k b h V U o Y u N L F E Q b u d R 1 O m H R I k C O w G k V g w e Y M 7 o i x u z N 6 E 3 4 o a S C Y 2 5 M m h 2 k 1 C t M C 0 r i 1 i E i L 9 h 1 A m X Q Q l k O 5 G o V y A W X c h o c o i / Y d Q J l k f c j B X o 2 C v Y A y j r O I s m j f d M p A 1 N h J z i G b H y g c D C j j F C i i L N p 3 A G W S / S E H j D U K G A P K u F 6 I s m j f A Z R J B o g c U t Y o p A w o 4 1 Y j o i z a d w B l k g U i B 5 0 1 C j o D y r h d D 1 E W 7 Z t O G Y h e O 5 T J J g g K E Q P K O M 4 i y q J 9 B 1 A m 2 S A g V O x R l m S D s O c 3 R F m 0 7 w D K J C N E f i y p U W A Y H K a 5 X u g 0 H e 2 b T h k I O T s J k 2 Q b B M W O A W U D b J B 4 3 w G U S T a I / J x S o / A y o G y A D R L v O 4 A y y Q Y B c W u P s i Q b B F 1 X Z i n 7 g D Y I i G 7 3 l M m P L T U K U w P K B t g g 8 b 4 D K J N s E B D / 9 i h L s k F Y T w m i 7 A P a I C B K 7 l A m 2 y A o 3 A 0 o G 2 C D x P s O o E y y Q U A c 3 a U M R c Q B Z Q N s k H j f d M p A r N 2 h T L Z B U M w c U D b A B o n 3 H U C Z Z I O A W L x H W Z I N g h 4 X s J R 9 Q B s E x O s d y k Q b J E N x d + D 3 H m C D x P s m U 5 a B i L 6 T p h 2 3 7 b L C k 8 Z 9 5 n f S 0 G W L l 2 C 1 K c t H y 3 m 9 H a 0 e D L q j G 0 P F L u / x C Z 3 i S N 7 p X f u i B 7 D Z V + 6 Q O + + o i / d + s y M 3 3 v N u T 7 / Q 9 d m 3 z w 0 H d 4 G y X f b 2 h j S X h P h l 2 W Y U 4 V U Z M z A d q c 9 7 C G 5 1 e P I t 7 K 6 Z f P E i A x c v n G 9 F j Z G B C w 4 t 9 T f 7 V d A T K 1 6 0 z c B d C A + Q s B V l 4 C 6 E + 6 1 0 e y k D v j H v W 2 D c s Q S K C a i B Q 8 c D J H E B O B a 8 b w V 7 O J M j g h k 6 J b I E S l I G D m V e Z l a J C e B w 4 H 0 r w p X n F V l 6 L H 3 C i S k D h p U H R + I B 2 O C 9 b y X h l q N N G Y o 2 s f T R u f h x t Z 3 Z p w C t j m q + a b L K U U n + 2 e w A 9 j K Q q x 1 H z 5 p M 9 n m z P Y A b C K + a K 0 Q P 3 a U i + / 3 d b G n r G d 3 N j A 5 e 3 q 3 e j V a / j K 4 e b F 2 n q 4 c 7 W A / E a E m j d d 8 Z E D b r W b 0 8 N V / c r e r t p i k Q Q n O 5 / b g y G 6 u Z I l v n a f X O U H P X F H k i / c 7 n m + v F b I 4 K n J g 9 Y 3 8 B 6 s Z w Y v S s q 1 X 0 2 Y t z Q K i t 0 f T Z X 3 7 4 l u J i q y / N 7 I 2 Q t o y S 3 / p l b a b S V g d 5 s z I 7 Q 7 1 4 U 8 / p m w X b a b a 4 Y U s t d Y N s t q Y P n U G z E d n Z Q P B t H a 6 R L X F F K 3 4 8 X 9 U 3 x l J Z e w M H V J O P v j / / + k + j r n C U L Q x G h b M t q b H b l N s a I X O 8 G X s F M / q e I 3 Y 3 i X y B L m F 4 9 T N S Y Q h f Y B h n y R S f I f x x T 4 S F 3 / O / u u J g L 1 e L 1 b 1 d S I / 1 + l e b P X D t V A j 7 o b 5 f P d a 7 G m b P S C W x 4 / d e 1 S 1 c a A v X 1 m L L a U U r a N G i W U y d r E h p L L Y a F i 6 A J d e 8 w m W u 5 M p W X D G r W P 0 q v m R V v E q V W J j K q 0 U V l p 8 i F a f 8 I l N e X S l c S i q o / U T L P R 1 c Z e k D l 0 r i C h / J t Y 5 g e a N Y R a N o E S O + H h E o Y x M p T R M t N 5 N c Q q Y z Q u y / e 5 v D G S K 4 R e 1 + 0 1 R 0 8 b w L 7 H f a + y 4 L v p u w 3 2 X e d 3 n w X c F + N / G + K 4 P v p u x 3 u f d d F X z X H E L 4 u i h u x p D w S 3 5 q S v / L c G 4 U P z l T / 8 t w d h Q / P Z X / Z T g / i p + g f g o u E n K x u E 8 x Q l l x B 5 K E T B M p 0 + y X v p j p c C 7 1 h P 3 S F z Q d z q U u 2 C 9 9 U d P h X O o p + 6 U v b D q c o Y y f I V / a s n C G M n 6 G f G n L w h n K + B n y p S 0 L Z y j j Z 8 i X t i y c o Y y f o V 7 a 0 p 4 0 O 1 D C 2 Z y 4 Q 0 n y N g l n c 6 L Z L 3 1 5 m x C 9 N m G / 9 O V t E s 7 m p G C / 9 O V t E s 7 m Z M p + 6 c v b J J y h n J 8 h X 9 7 y c I Z y f o Z 8 e c v D G c r 5 G f L l L Q 9 n K O d n y J e 3 P J y h n J + h V t 4 a q 0 F I j y 9 n x E 9 J g h 9 J 2 i 7 k a Y + n Z g 8 z e E a y s Y f Z t 9 I y q 4 f J C C L p 0 c M X W d F U 5 z s i 0 u 2 X N t m 4 Z x y M + 3 H I Q 4 V w k o A e K E I p L z Q z o O Y G 9 N V D E Q p / M W E G z L g B f a 1 R E H u o Y A a c c A P 6 y q Q I l 0 o x Z Q b M u Q F 9 H V O E T C k 5 p h T c g L 7 q K U O m l B x T S m 5 A X y O V I V N K j i l T b k B f U Z U h U 0 q O K R U 3 o K + / y p A p J c c U N e Z G b F v 6 I U O 2 T N m 1 w i 8 W f 7 V M Q 8 Z M O c Y o d r k o f 7 1 M Q 9 Z M O d Y o d s E o f 8 V M Q + Z M O e Y o d s k o f 8 1 M y e G C Z Q + 7 a P Y t Q z I q O x i E 3 K z G / X B I 8 + H c x s 6 x J + R l p Z k B N T e g z 8 k q 5 G Q 1 Y Q b M u A F 9 P l Y h H 6 u C G X D C D e h z s Q q 5 W E 2 Z A X N u w O D o S M + O H F c K b s T g T D k m h 8 o x x 5 e S G z I 4 b I 7 J a X P M c W b K D R m c Q s f k G D r m e F N x Q w b H 0 z E 5 n 4 4 5 7 q g x N 2 a g A t u E t 9 6 g i l 0 2 / L o J / C H 0 3 K 8 4 F i l 2 7 Q R q U F G X g O K Y p N j 1 E y h C R b 0 F i m O T Y t d Q o A o V d S Q o l l H s O u r U 5 E A H A / E w K D 3 u R 4 I W I J N 9 q 2 8 V n V / E M a G 0 Z g B q G e A u d y o E G g h D 6 8 L w g O Y M 0 C w K t O C A B s J C n B p K T x m g k y j Q i g M a C F P r / n C B Z o o B m s e A Z p o D m g d A y V r L J g z Q I g o 0 5 4 A G i r 1 1 n X h A S w Z o G Q U 6 5 Y C G f k a y X C b c c p n G g E 4 U B z T Y H F p X i g c 0 Y 4 B W U a A T D m i w f R D n i p o U D F A 1 j k I t O a j h B t M 6 Y j y w F Q c 2 o p B 2 6 S 4 x 2 E A r E e e M y j m t p K J q K W f V U r h J 5 U Q v 5 Z x e U l H F l L O K K d z G i H N H 5 Z x m U l H V l L O q K d z o C q K b C k 4 3 q a h y K l j l 1 H 0 7 1 P u p i K 9 B d c 4 G l G x R S L D T t 4 q b I f F F q M 4 Z g V I l i p m f i p I D G g h d Q Z Z Y U T F A s x j Q z j M R c d U q 4 o J Q p W a A T q J A M w 5 o I H A l W V 5 l z g D N o 0 A L D m i w G R L P g + p c D y h H o A y 0 4 o A G m + G U L K 2 p Y o C W M a B T z Q E N N k P i a l B T b r l M o 0 B z D m i w G U 7 J t j 8 t G a B V F O i U A x p s h s R Z o K o x A 1 S N Y 1 A r x U E N N 8 O K b P x V x o G N K K R d R j s M N t B K x E + g K k 4 r q a h a q l i 1 F G 6 G F d F L F a e X V E w x 6 T G r m I L N U B M H g R 5 z m k n F V F O b D g 6 D D S K e 4 1 A 3 t X n e I N i Y c t J j V j m p I F x K v A J t r j W 3 B 4 k 5 B 2 K p y X l d 7 8 Q g P S G T O x q J N + + m G S d L k v M j P S E j k o s S C W T v j v k 4 1 Z G c 3 e i J + Y x c t M I F 0 m Y t 4 h I V y b m J n p i N y E E L X D X Q D F o T E S 3 U O j C X k I s W W W C 7 M z 9 O E i T n B X p i J i A X L b I A d 1 4 B n O J H z u r z x D w + 7 q W P 0 I D Q m W L Q K k W 0 U O v A L D w u W k Q 5 Z J x y m I p o o d a B O X R c t E I j R G c l g 1 Y l o o V a B 2 b A c d E i q n v n n W B S 2 0 S y 2 T w x f 4 2 D G P F g 6 E n G I R Z R 8 k / R 8 r v 0 M y 5 i R N N P O E 2 v Z F U P m w d m j 3 E R I 7 p + w u l 6 J S t 7 2 D w w + Y t 7 x 4 t o + 5 z T 9 k p W 9 7 B 5 Y O 4 W F z G i 7 3 N O 3 y t Z 4 c P m g a l X X M S I x s 8 5 j a 9 k l Q + b B 2 Z O c R A j / h h d c D p f y U o f N g 9 M f O I i R r R + w Z q E s t q H z Q P z l r i I E b 1 f c H p f y Y o f N g 9 M O + I i R j R / y W l + L W t + 2 D w w a 4 h 7 s Z N o / p L T / F r W / L B 5 Y N I P F z G i + U v W x o 8 Y + U / T / G W g + U u i + U t O 8 2 t Z 8 8 P m g S k 3 H M T I Z R U 9 5 T S / l j U / b B 6 Y M c N F j G j + K a f 5 t a z 5 Y f P A h B c u Y v R a M 6 f 5 t a z 5 Y f P A f B X u p W m i + S t O 8 2 t Z 8 8 P m g e k m X M S I 5 q 8 4 z a 9 l z Q + b B 2 a L c B E j m r / i N L + W N T 9 s H p j s w U W M X o D n N H 8 m a 3 7 Y P D B X w 6 G J A p w r 6 O N w x 2 j f 8 L s 9 w v X e v t R 3 e 4 T c a t / j R 5 7 g u w O E S r h 9 Z + + + H g i X U B a 4 U d s H 9 H 6 P T E Y i e O + j C J 2 B N 6 9 9 / u 7 3 C J 4 q E J 9 R t r M 8 x K f s z g C a 0 K k D O j W h U 4 d j E E J 2 i l Z 8 b + 4 O Q O j U A Z 2 a 0 B l 4 O D L i 4 c g y J S P R 4 O i 9 h Y 4 / f 3 Y f P J M 3 z t y z 5 u A l M 3 i 4 7 L 9 V 9 p 8 n 4 x f J 9 g 0 y f n Z 8 9 O L 7 U Y d 2 M w P t y 2 P / J V 3 z Y J h / S e e + J + 6 z n H S P g I U n d u 4 r Y f 9 L + p z v p f y c 7 6 X w n K 9 / 4 v v T a n F r 3 z 2 2 j + z 3 7 3 3 7 Z 7 z O c 1 / b b d 2 / 9 0 W P g 4 9 t w h g z m T e z 2 0 a + j D J c z m / t 1 C 8 f 7 n d S 8 p 3 1 v D 9 2 L f a n l 6 t 7 + 9 5 / t l g 0 b z T t Q 8 / m a e q i v p 3 Z q g i P V p q s T r x b L e 1 g z k P H 9 h 1 v K 5 L 7 l 5 v 2 2 W Z T a K X + Z b 7 4 n / 9 u B D W Q 4 H C Y n + v F X f A 4 9 I v d N F 7 S i b + U J / 4 y / R 3 l / o e L 8 I e z 8 I d L K T f M h r 7 z T C p P v g e V W K K x n 8 b + 7 Y n 3 8 / 7 R S M / n 2 T J 4 q 2 u b / q M B M d q u 6 + a V x m J D H r P 8 t F q 3 H 2 / N l t g 9 q V 0 b H E l X O 9 j D f H v X Z H y Y W 6 7 / i f R 5 1 Q 2 g h D Z N 2 l 4 2 c n V V G 8 U x 2 1 o o o 5 O T E y f f B X 6 E s y f a n Q 1 A s v f C R i L Y 6 w j J 9 X p 4 x D I t O m i J E w r e A w V P a d o G / s L 5 7 s M L c g d z 1 4 B u p P T A E o W / g S / I P o d S 4 n I Z U t D U f b / t P K z f 7 L b K 5 D p R h 1 R Z C g o r w V p K 0 f J J f s U k W C Q p W h f J L 4 U E q x 9 F C x 7 5 N Y 5 g W a N o J S O / e B G s V x Q t U e R X J Y K F i K K 1 h / x y Q 7 D C U L S o k F 9 H C J Y O i l Y L 2 h 1 l E s v 8 B I n l w l x y b v o 4 L 2 P c o C R x N C / c U 3 K i S T m K 0 r I S H Z a H K C 3 1 k J B t 6 K g z S X f 2 b P t 3 Z / + e G 4 a O / v L O J v O 5 c Q y 5 7 2 a N L R a 1 4 q x C 6 o 2 4 m P l 3 / P 7 9 U 6 y z 8 3 2 n I y e r z M / N v F g T 8 H H W 0 O x g 9 2 4 x u 6 5 / m i 0 e 6 m c R k o 6 P L m b m / / 5 + d L z 7 a r 3 / / M f 6 7 1 t j i D q w W d C K h U 2 Q P D 7 6 z n L u a B A 8 i Q L F c 4 W i a f m Q a O q 6 3 a 7 m b 0 k X g R P 6 I F a o O C + i O L E o Z c k c 0 n E W p a M h 0 a v T G Z c 1 j I s d P p r 2 E 9 g q M G t y E L N 0 y s L h 0 W G x y Z P 5 N E l Z S g d g U C R j k N s 5 s G O b / x 7 v / h F i 0 n x r U I E H w y B D 1 m j z b j F v l L v Z D 6 w h N r f a 2 9 h 6 d 6 5 y u 7 S d W l E B O B X C K b T 5 0 l i O 7 R B 2 j r 7 8 z W i b + f 3 c / P j M E j H 6 9 4 f V t r 7 c / m b g f L V 5 / L T J v A c G O 1 E c m B P t U O W n 8 n I U V e O z + c U c V V o 6 b L / O F S D O g l 0 G L E J + q j c G O 7 d b 2 j r N + H U a E i i i Z z N n n X Q u g J H N G G X / u 1 c g 0 h o t D 1 q j R m s c 9 R 4 H S a 1 G E E u a p k m 6 O i v 5 i d L d R D U L a t A s T Q + a p Y m z i i N T x K H E Y l Q l 6 x J j S 4 + P l w + L B a t B h N S F K c k K U 9 I T p i Q k T E l B K C U d l N I M 8 o k F 0 0 Q w T x f B q h F B a U 5 b V 0 b n F E h N C n n U O f T 2 v 6 U m h w y / 1 E e p S S K P H C 8 h g R r j F f m 2 h 8 v y 8 M x J m 0 h m i O W u + 1 X n D Y k l l P S + c v w i k v n J m + O y 9 E R N m t C N K + D A 2 8 A A 3 a g l w w M W L e o B Z w M b Y H p P A V m / w J v V r w 6 X B Z p 5 I z u C Z d L E c 8 5 y A S H e t g W 4 J z E h j o R I 6 g C b 3 8 b z 3 s t A 9 8 z p F 5 M w F 7 x l H c E 4 i T k p M S K C U r q p b U O Z K e x J Q U M k V z D 2 A P p 7 B o m B m o Z F r u Z q N V 4 Q v b n s E 0 n d z B 9 P + l 5 e S O f i g e n l x X n O 3 J e Y b T + B C 4 c Z l z b M H r V Y / h n C T Y m M H 2 C + 6 n L H + A H k G f a e W G Y 4 z R b I 0 u N z G v F G B i J D D Y g t G F E R B o O B V / P j y X L d d m A C e d / 0 f / n d 3 F B W 9 2 9 J O A + z 6 d U k r r W + 8 T D u k e F x S b f m 7 U W J m L o a D D 8 b p 8 O v o o s z P X I k Y J T u 9 7 Q X Q 2 L q 4 m M w 8 A P p s g H n o K x 1 W r B z f + l b 9 x F O X A Q / 7 T 5 i 2 H P h n w F 4 Z p 2 F m + c A 5 r 2 m v z q k D G L q a 7 b R o T O N 5 6 / p r 8 4 k p C r v 1 1 B G h P V 6 o G M + 4 W T E x a g F Z N J d 8 l m C T z 6 O g E h i M W D J B N 5 4 G p V / F a C Q f E 3 K 4 0 9 w T y q C P r 0 y Z T f p Y 3 h P q g 8 x J c R 5 5 M B C 3 K 0 Z 8 e d R T w v y o S D v C P Z 7 Y I 8 G 5 7 P g v B K 8 3 4 E c i M k h D J j 8 w L 4 H x j y 0 3 C X b U T I G J d v O t 9 B c 6 2 P o l R L X T x A q f 1 f D + 0 o c q 2 V R w 2 K d y e l A u g Y / 3 j 3 4 p 7 1 7 c P z x j t 8 f + Y 7 f x 1 t n f 9 h b Z 3 K B z V h J T a m I p l g 2 8 1 / j t p t g + f J u 6 a h 9 G D X E f / 9 d T i A s / f Z G l n B 9 4 / + U l H T f t M 1 b k e Z s + R B W Q e J 5 p h x w n t n 5 s Z 9 g p 7 z G v b 5 9 L p 5 G D 3 Q 8 l w n 3 x H 4 v q 0 e g h v d U A s L j V 8 x + f w q 6 h z c b O 9 u G f a v a v e L 5 1 e r + a r 6 U 5 G Z q D 5 3 B V v 1 a 2 D 5 f C 1 v a a 2 G b c R V 3 / 0 f l / m E f C j p / 2 f D 3 D v / 1 n p D Y f a f v V s v 6 0 2 4 Q W 1 p N n i k l T B W e W j N b 0 J K B p g m 0 N a D x A K 0 B u L 3 D f R N s h O S 3 C v z W T D n 5 8 Q k z 3 4 6 1 i U y 7 H j r t 1 s E Z N x a j l m D U z I v a c F E D L W p 9 R U 2 c i P 0 i t l e R 9 o b f Y o c n 8 J 6 O e 8 R r W j 4 O w 0 i M g W n + J 6 l b Z 9 V 3 S 2 K D Z z R 1 B 5 4 O 2 I F 3 t 5 E G P a U 4 k 2 x P 4 b o v H 0 W K k J N o 5 E S M Y R F I l T 5 n N u m W v U R 4 w O n y F f n 5 6 P B 6 0 U c v b Y 9 R v b 3 e R e P T f C f f o 8 a j f f X n d A f c 8 4 T 4 n S A M B w Y E k s O L / 7 t H w 2 Q / u x L 8 7 G C O / l C + 9 Y 9 + 8 D Q / e M L K O v 6 X d o B H l m h 4 3 I 4 t W f c 4 L i 1 f 7 6 g u u n m e 6 H j n D 6 X H H 8 K z 7 u h 9 V p 8 f f 3 S S f 3 S S p z j J g U n S H 3 y T r N K Y R d h t j T / M 3 z Z b 4 c a m L L L J N v q X R e a X u A + y v T D i y + p r u 4 W e n N e b 6 1 a g J Z O D v z N E M I s Z G Y O l a Q h X W h I 6 A u a b h J e m g N j j 0 f h 4 1 F A x w m S M 3 h + 8 J w o o j q J X s z y C z P D 2 Y H Z k / k P Q b I 5 I o 0 P P S P 4 T K c f e Z N 6 A Y V q a d 6 u i p e O + 6 v p k v m S g / 9 s n n 2 z e z I z O G L 0 8 / 9 a g s q i 3 T U + b U M j 8 + d X m 8 e R 8 d f 1 w b 2 v b f j 1 v f A z L Z g 9 9 d n R q 8 w F t T r d v 6 6 u r W p 1 + O 7 9 a z 9 a / n X 6 1 M P v R 5 X a 1 n t 3 W p 6 + X 9 f l 6 / l h / 9 r X R S m t r B R o K n t f 2 u L C p L / d 7 2 + 3 c / L C s l / s f r N h f b k + + e b i q 1 9 u H z e l z 0 7 g 2 C / m z 0 Y s f D f h f 5 3 d 3 t c 1 U d P p i a R S E 6 f 7 Y b C G n e q z z 0 + v N Y y v Q h j v L 0 7 2 Z a v 9 5 / q 3 t c G I 6 m L P 0 6 D + 7 M 7 i h s 2 H 2 z u Q 1 f 5 a Z P h 7 9 e X m 9 a h I Y f T 4 q 8 v F Y / b V j 4 T f 1 z B L Q P N k 2 T D F r q t m K H + v Z Q 8 / O 7 9 e r e 3 O q 3 / V 9 Z i f U A N 3 9 e r Z Y X F 7 P F o Z T n 2 / X D / V f G e m I C o e E i R H R 9 + G W + m K 5 L S Y n 9 u v m Z O U r r U Z i 7 O 6 6 n d + 3 7 c G O S z s E S Z 2 C 4 Z 0 z g v 8 U 8 W x h T q V 1 v f y C t P z U P H V x a g 1 z X e x d l o U x B X d n W K b L r L f V 0 3 o Z 3 b e d z R c b o f f G 2 P C 0 u d 3 5 R i L m t A 8 P 7 s t d 2 W V 5 x K 7 X 3 m Z O 6 J I A c 2 9 O J 3 R J G K 0 3 w 5 M 6 8 S O + 6 r I G y t O M u k m j O u c C c e D L 3 U G U t j i W O d O 4 O y H Q 1 s 7 8 p 0 3 7 E 4 Q I r z X H k b z S q + p + D 3 p Y 9 9 v / b G u W L 2 Y 3 6 3 p D 2 o x Z I D U f n t o C r Z h Y a g b / m / N V 3 T j A l r P Z Z h u c D Z r f V 7 c N N n v L x n q g v q D K K 5 J c I I A 5 t 9 X l z e C 1 a 2 W 2 w 9 / W d n c 2 l s L I S u S q O R X t a b l p b k t u R K l j H q 8 D X j Z 0 X h v z 1 M j N r M n S F 2 D Z 3 d D c m e k d V L 7 r 4 0 7 t 8 T 1 A g X g B 8 p 6 O x N 7 B k Z 3 p 1 0 w K y x y a a Z C 2 8 y / K Y F 9 y u A 6 E J 5 a R k A 6 K 0 h P S Q c 8 i d A i Z C 2 n f Q Q h e R i A L b / J o 3 y G Q X 0 R o 9 p + N k S l 7 M W B K / L d l Y K h h e J / J g 9 H 3 B T R D L f 4 s 6 a J / 8 O k + J S m 1 x b r c p N z k d s u s r e 3 E j / 0 3 m n T C z V 2 c N r 4 W x s + k 8 S d p 4 2 f C + L k 0 f p E 2 / k Q Y v 5 T G n 6 a N n w v j V 9 L 4 T e 7 g B A C F x G C R w y q R x a U E Q e S x S m T y V I I g c l k l s r m S I I h 8 V o m M b v i F 9 V n w d i h J b 6 Q + x W G J 6 o T L n g D J 4 s b C d T F E e 2 g l Q s D C R S B I + k N n I g Q s X A S C p E F 0 L k L A w k U g S D p E l y I E L F w E g q R F t M j p L J H T k h r J R E 5 n i Z y W 1 E g m c j p L 5 L S k R j K R 0 1 k i p y U 1 k o m c z h I 5 z a m R t D r F + M P E 9 3 g s Y e I + N c E C B q s a c x A m 4 j 4 1 w Q I G S x i z E G R b B A s Y r F f M Q h D 3 q Q k W M F i c m I U g 7 l M T L G C w E j E L Q e R 0 n s h p S Z X k I q f z R E 5 L q i Q X O Z 0 n c l p S J b n I 6 T y R 0 5 I q y U V O 5 4 m c R q o E J z x g z u l O v B K 4 L 2 A o 1 + 8 X j e v 6 3 d O D v B R M J O L r f y C E f 7 m O J B b s d x w a y g v Y 0 k z o f L n Z r h + u t / X D W g b W 9 L 6 Z r + e 2 u E N C 1 + 3 s / m p V r 6 0 D 0 L A i 4 Q M Q s I 4 y 1 o 0 H p 7 O V / y o a 1 x Z Y m t J N S 9 2 G h b + j z O Q B e a y M 9 Q v 5 y H d v M w x I P j / X 9 4 C + p b k U Q t u i S U A g g q B 3 g E J I Y j o G A v D F R Q z g A 0 8 T z O F A Q Z x F Q H g W E w H C Z I C g Y A 7 x J q V n j W D 3 F X F / L 8 D + 3 s A k 9 b V 9 K z c Q t q i 1 V 4 g 2 Q A F s A I q F T s J C s g g L 0 U 4 o g J 1 A s a C n F o S F Z D U W s g 8 L 2 B I U i 0 k S F p J l W Y j 2 R g H s D Y o F P V 8 h L C T r s x C l s 0 y S z i I J C 8 l C L U X p L J O k k 5 4 E E R a S F V u K 0 l k m S e c 0 C Q v J 0 i 1 F 6 S y T p J N 6 J x A W k j V c i t J Z J k l n 7 0 2 V 1 R Y w m X s 8 R P m c p m n P R P U p 6 c + p K K H T J A l V a Q p U S R p 0 K s r o N E l G V Z o K V Z I O n Y p S O k 2 S U p W m R J W k R a d y v C B N T t P U q A J 6 V L K m E o y L o e m k 2 F k Q V 0 m F V o k F H b U x P G s z a m N U 4 h q p 0 B o h W K A l Q r G Q V k g l r p A K r R C C B V o g F A t p f V T i + q j Q + i B Y o O V B s Z B W R y W u j g q t D o I F W h w U C z H k F o m 5 J Y k n M j I o G m J g b i x H 5 s Z J A o r M D I q H G L 4 b y / G 7 c Z K I I k O D 4 i E G + c Z y l G + c J K T I 1 K B 4 i K H A s R w L H C e J K T Q 2 g P 6 S j A 0 1 l i U V h Y c B J l T M I C a 0 m x N D l k U V R Z E B I l w v Y G + w i M i y i o L N A B E 6 C E S E d n M Q k Y U V x a Q B I h y 6 w O J g E Z G l F Y W u A S K U G o g I 6 g a 8 K i l + j C c H t 5 W 8 O F B 4 u 4 E a 9 2 Q 0 n e z d t L v t q H n N s a p / M W g y 4 w 2 4 a 6 M j d z G g 2 U 7 K h g 9 A 2 Y y J Z J 2 i L V k w C k T Z P b Q 5 q Y j 7 S X i 0 o c U + K K 6 v t L w y U N y d o g 3 P B D z a V C Y R 2 p K N p E C 0 3 k U 7 Q + q c o A 2 P E C z a K H w P 0 J a M K p X J m h n F 7 y n a H N c Z t D n B o 0 Y Y p z 1 B 0 N / D m o o Q w J r v B L H m 5 I 6 a b C z W s u p D 4 X i K N S / + C G s Q n k d Y 0 0 F 7 r E E M 3 8 O a 0 1 T Y v k v D m p M 6 a g 6 y W M s b P Q r q g 2 2 G 5 w h E m 5 M o Y D y y e F N W e H j z E x m z H X m 8 0 e 0 A h L d k a s q 3 A x S 6 H g D w 5 n t B v N M 2 S d E y B b c K P L y T N k l o m Q p 4 p + 2 S o i E r 3 z N Q 6 K I B w J v X 7 h D v t G 1 S t H t B p M q 7 E 5 q 0 T b I G L c Y b x 6 U o 3 n D U w 2 5 v D U m m z u 7 N c p x L 4 U D X W Y q p f J Z u K g + 6 D a b k o J j C U b E Q Z W g q M y i b M a H W H X T F T I E 4 m Y c 2 F P w Q b W g q s 2 j j o N i g e 2 t K D n g p H P E K 0 Y a m M o 8 2 V H W D L s M p E A P z 0 O b W I T a V S S e I N i d 4 1 F T m N J c c y 1 I 4 m B V i z c s / x J q T u 3 R L G c S 2 v B v y U N + G W H M r D G O N w 1 j w J i C L t a z 5 c I A q x J p n C M S a E 6 h 0 S x n E q z y s + W m M W c o 8 1 h y R 6 Z a y H P V R M O x D d x m + F 0 I b x H j g V i N Z y i A S 5 O H N K a o E S 5 n H m x O 8 A Z a y H N N R M K h D 8 e Z V O 8 Q 7 b Y 8 U L W U Q 5 / H w T t o j s a X M 4 a 1 h U A f g L V j K W o 7 X a B i v o X j z G g f i n b Z L S p a y B g E c D + + k X Z K 1 a R m 8 0 7 Z J 5 E U f k D q Q f Q 4 j h 3 A 0 C O E 4 3 4 p q T E u q R M t x E g 2 W x Q H J H / 0 B / O T F f h t K 1 e v 3 i C W V Z W B R O l A C 4 H R Q t L e X d l k G R X v E E t 0 y o O g 6 Q c m K 0 0 H R 3 l 7 C a B k U 7 R F L v s u A o i s R J V Z O B 0 V 7 e 6 m u Z V C 0 R y w h M A O K r m B U D S E d F D B / X j n v N v s 0 Z K N n / p k d X P 4 e l A S X f 1 o p m q 4 a b S Q N 3 N i h / Z X 3 4 K z D B R 3 H g 7 6 G k H 7 C R s / u b Y Y M Q + T o r n 7 4 h 5 m Y + 9 V t v Z i / v U O 3 / z u i R J t F o 7 A p J Q o c 6 z m i w G H 9 Q K I M c s J B Q 4 M 4 q 0 c Y M G o o Y e D g z x E G j v M H E w Z C p T 1 h c s x S o 5 g l J Q y 4 B j j C w I H / c M I k c 0 6 O a m o U 1 a S E g T g b R x i 6 r n c w Y c J J X c t x T 4 3 i n p Q w c L + J I w x c c j q c M O G A q e X I q E a R U U o Y u D D F E Q Z u T R 1 M G A i x O o T J q h 7 F T i l h 4 A Y W R x i 4 h n U 4 Y Y K r S 8 v h V Y 3 C q 5 Q w c K W L I w z c 6 z q c M O m Q I E d g N Y r A g s 0 Z 3 B F j d 2 f 0 J v x Q 0 k A w t y d N D t N q F K Y F p H F r E Z E W 7 T u A M u k g L I d y N Q r l A s q 4 D Q 9 R F u 0 7 g D L J + p C D v R o F e w F l H G c R Z d G + 6 Z S B q L G T n E M 2 P 1 A 4 G F D G K V B E W b T v A M o k + 0 M O G G s U M A a U c b 0 Q Z d G + A y i T D B A 5 p K x R S B l Q x q 1 G R F m 0 7 w D K J A t E D j p r F H Q G l H G 7 H q I s 2 j e d M h C 9 d i i T T R A U I g a U c Z x F l E X 7 D q B M s k F A q N i j L M k G Y c 9 v i L J o 3 w G U S U a I / F h S o 8 A w O E x z v d B p O t o 3 n T I Q c n Y S J s k 2 C I o d A 8 o G 2 C D x v g M o k 2 w Q + T m l R u F l Q N k A G y T e d w B l k g 0 C 4 t Y e Z U k 2 C L q u z F L 2 A W 0 Q E N 3 u K Z M f W 2 o U p g a U D b B B 4 n 0 H U C b Z I C D + 7 V G W Z I O w n h J E 2 Q e 0 Q U C U 3 K F M t k F Q u B t Q N s A G i f c d Q J l k g 4 A 4 u k s Z i o g D y g b Y I P G + 6 Z S B W L t D m W y D o J g 5 o G y A D R L v O 4 A y y Q Y B s X i P s i Q b B D 0 u Y C n 7 g D Y I i N c 7 l I k 2 S I b i 7 s D v P c A G i f d N p i w D E X 2 / w B R o 6 8 t J + Y 1 O 7 S i / w S 0 W x c K K F o c K p j i S d 1 q u i y V 0 B l W x c G 9 U F w v 3 h I W x Q k 9 W U 7 j Z L V Y F q j T H L 8 s e X v 6 Z z X s I b n V 4 8 i 3 s r p l 8 8 S I D F y + c b 0 W N k Y E L D i 3 1 N / t V 0 B M r X r T N w F 0 I D 5 C w F W X g L o T 7 r X R 7 K Q O + M e 9 b Y N y x B I o J q I F D x w M k c Q E 4 F r x v B X s 4 k y O C G T o l s g R K U g Y O Z V 5 m V o k J 4 H D g f S v C l e c V W X o s f c K J K Q O G l Q d H 4 g H Y 4 L 1 v J e G W o 0 0 Z i j a x 9 N G 5 E I r 3 B Z K c V M o v + O a g M r D B t p V S A z a k i a s T 6 P c 7 n 2 + u F 7 M 5 K n B y Z q t l t R e g b g w n R s + 6 W k W f v T g H h N o a T Z / 9 5 Y d v K S 6 2 + t L M 3 g h p y y j 5 r V / W Z i p t d Z A 3 K 7 M z 1 I s 3 9 Z y + W b C d Z o s b t t R S N 8 h m a / r Q G T Q b k Z 0 N B N / W 4 R r Z E l e 0 4 s f z V X 1 j L J W 1 N 3 B A N f n o + / O v / z T q C k f Z w m B U O N u S G r t N u a 0 R M s e b s V c w o + 8 5 Y n e T y B f o E o Z X P y M V h v A F h n G W T P E Z w h / 3 R F j 4 P f + L 1 n 9 / r N e / 2 u y B b r H C H + r 7 1 a N T H 9 p + 6 1 Q S s y W I n a p b u N A W r q 3 F l t O K V t C i R b O Y O l m R 0 l h s N S x c A E u u e Y X L X M m V r b h i V r H 6 V X z J q n i V K r E w l V e L K i w / R S p O + U W m v L p S u J R U U P u J l n s 6 u M r S B y 6 V x B U + k m s d w f J G s Y p G 0 S J G f D 0 i U M Y m U p o m W m 4 m u Y R M Z 4 Q c N b W r 9 z a H M 0 R w i 9 r 9 p q n o 4 n k X 2 O + 0 9 1 0 W f D d h v 8 u 8 7 / L g u 4 L 9 b u J 9 V w b f T d n v c u + 7 K v i u O Y T w d V H c j C H h l / z U l P 6 X 4 d w o f n K m / p f h 7 C h + e i r / y 3 B + F D 9 B / R R c J O R i c Z 9 i h L L i D i Q J m S Z S p t k v f T H T 4 V z q C f u l L 2 g 6 n E t d s F / 6 o q b D u d R T 9 k t f 2 H Q 4 Q x k / Q 7 6 0 Z e E M Z f w M + d K W h T O U 8 T P k S 1 s W z l D G z 5 A v b V k 4 Q x k / Q 7 2 0 p T 1 p d q C E s z l x h 5 L k b R L O 5 k S z X / r y N i F 6 b c J + 6 c v b J J z N S c F + 6 c v b J J z N y Z T 9 0 p e 3 S T h D O T 9 D v r z l 4 Q z l / A z 5 8 p a H M 5 T z M + T L W x 7 O U M 7 P k C 9 v e T h D O T 9 D r b w 1 V o O Q H l / O i J + S B D + S t F 3 I 0 x 5 P z R 5 m 8 I x k Y w + z b 6 V l V g + T E U T S o 4 c v s q K p z n d E p N s v b b J x z z g Y 9 + O Q h w r h J A E 9 U I R S X m h m Q M 0 N 6 K u H I h T + Y s I M m H E D + l q j I P Z Q w Q w 4 4 Q b 0 l U k R L p V i y g y Y c w P 6 O q Y I m V J y T C m 4 A X 3 V U 4 Z M K T m m l N y A v k Y q Q 6 a U H F O m 3 I C + o i p D p p Q c U y p u Q F 9 / l S F T S o 4 p a s y N 2 L b 0 Q 4 Z s m b J r h V 8 s / m q Z h o y Z c o x R 7 H J R / n q Z h q y Z c q x R 7 I J R / o q Z h s y Z c s x R 7 J J R / p q Z k s M F y x 5 2 0 e x b h m R U d j A I u V m N + + G Q 5 s O 5 j Z 1 j T 8 j L S j M D a m 5 A n 5 N V y M l q w g y Y c Q P 6 f K x C P l Y F M + C E G 9 D n Y h V y s Z o y A + b c g M H R k Z 4 d O a 4 U 3 I j B m X J M D p V j j i 8 l N 2 R w 2 B y T 0 + a Y 4 8 y U G z I 4 h Y 7 J M X T M 8 a b i h g y O p 2 N y P h 1 z 3 F F j b s x A B b Y J b 7 1 B F b t s + H U T + E P o u V 9 x L F L s 2 g n U o K I u A c U x S b H r J 1 C E i n o L F M c m x a 6 h Q B U q 6 k h Q L K P Y d d S p y Y E O B u J h U H r c j w Q t Q C b 7 V t 8 q O r + I Y 0 J p z Q D U M s B d 7 l Q I N B C G 1 o X h A c 0 Z o F k U a M E B D Y S F O D W U n j J A J 1 G g F Q c 0 E K b W / e E C z R Q D N I 8 B z T Q H N A + A k r W W T R i g R R R o z g E N F H v r O v G A l g z Q M g p 0 y g E N / Y x k u U y 4 5 T K N A Z 0 o D m i w O b S u F A 9 o x g C t o k A n H N B g + y D O F T U p G K B q H I V a c l D D D a Z 1 x H h g K w 5 s R C H t 0 l 1 i s I F W I s 4 Z l X N a S U X V U s 6 q p X C T y o l e y j m 9 p K K K K W c V U 7 i N E e e O y j n N p K K q K W d V U 7 j R F U Q 3 F Z x u U l H l V L D K q f t 2 q P d T E V + D 6 p w N K N m i k G C n b x U 3 Q + K L U J 0 z A q V K F D M / F S U H N B C 6 g i y x o m K A Z j G g n W c i 4 q p V x A W h S s 0 A n U S B Z h z Q Q O B K s r z K n A G a R 4 E W H N B g M y S e B 9 W 5 H l C O Q B l o x Q E N N s M p W V p T x Q A t Y 0 C n m g M a b I b E 1 a C m 3 H K Z R o H m H N B g M 5 y S b X 9 a M k C r K N A p B z T Y D I m z Q F V j B q g a x 6 B W i o M a b o Y V 2 f i r j A M b U U i 7 j H Y Y b K C V i J 9 A V Z x W U l G 1 V L F q K d w M K 6 K X K k 4 v q Z h i 0 m N W M Q W b o S Y O A j 3 m N J O K q a Y 2 H R w G G 0 Q 8 x 6 F u a v O 8 Q b A x 5 a T H r H J S Q b i U e A X a X G t u D x J z D s R S k / O 6 3 o l B e k I m d z Q S b 9 5 N M 0 6 W J O d H e k J G J B c l E s j e H f N x q i M 5 u 9 E T 8 x m 5 a I U L p M 1 a x C U q k n M T P T E b k Y M W u G q g G b Q m I l q o d W A u I R c t s s B 2 Z 3 6 c J E j O C / T E T E A u W m Q B 7 r w C O M W P n N X n i X l 8 3 E s f o Q G h M 8 W g V Y p o o d a B W X h c t I h y y D j l M B X R Q q 0 D c + i 4 a I V G i M 5 K B q 1 K R A u 1 D s y A 4 6 J F V P f O O 8 G k t o l k s 3 l i / h o H M e L B 0 J O M Q y y i 5 J + i 5 X f p Z 1 z E i K a f c J p e y a o e N g / M H u M i R n T 9 h N P 1 S l b 2 s H l g 8 h f 3 j h f R 9 j m n 7 Z W s 7 m H z w N w t L m J E 3 + e c v l e y w o f N A 1 O v u I g R j Z 9 z G l / J K h 8 2 D 8 y c 4 i B G / D G 6 4 H S + k p U + b B 6 Y + M R F j G j 9 g j U J Z b U P m w f m L X E R I 3 q / 4 P S + k h U / b B 6 Y d s R F j G j + k t P 8 W t b 8 s H l g 1 h D 3 Y i f R / C W n + b W s + W H z w K Q f L m J E 8 5 e s j R 8 x 8 p + m + c t A 8 5 d E 8 5 e c 5 t e y 5 o f N A 1 N u O I i R y y p 6 y m l + L W t + 2 D w w Y 4 a L G N H 8 U 0 7 z a 1 n z w + a B C S 9 c x O i 1 Z k 7 z a 1 n z w + a B + S r c S 9 N E 8 1 e c 5 t e y 5 o f N A 9 N N u I g R z V 9 x m l / L m h 8 2 D 8 w W 4 S J G N H / F a X 4 t a 3 7 Y P D D Z g 4 s Y v Q D P a f 5 M 1 v y w e W C u h k M T B T h X 0 M f h j t G + 4 X d 7 h O u 9 f a n v 9 g i 5 1 b 7 H j z z B d w c I l X D 7 z t 5 9 P R A u o S x w o 7 Y P 6 P 0 e m Y x E 8 N 5 H E T o D b 1 7 7 / N 3 v E T x V I D 6 j b G d 5 i E / Z n Q E 0 o V M H d G p C p w 7 H I I T s F K 3 4 3 t w d g N C p A z o 1 o T P w c G T E w 5 F l S k a i w d F 7 C x 1 / / u w + e C Z v n L l n z c F L Z v B w 2 X + r 7 D 9 P x i + S 7 R t k / O z 4 6 M X 3 o w 7 t Z g b a l 8 f + S 7 r m w T D / k s 5 9 T 9 x n O e k e A Q t P 7 N x X w v 6 X 9 D n f S / k 5 3 0 v h O V / / x P e n 1 e L W v n t s H 9 n v 3 / v 2 z 3 i d 5 7 6 2 2 7 p / 7 4 s e B x / b h D F m M m 9 m t 4 1 8 G W W 4 n N / a q V 8 + 3 O + k 5 D v r e X / s W u x P L 1 f 3 9 r 3 / b L F o 3 m j a h 5 7 N 0 9 R F f T u z V R E e r T R Z n X i 3 W t r B n I e O 7 T v e V i T 3 L z f t s 8 2 m 0 E r 9 y 3 z x P / / d C G o g w e E w P 9 e L u + B x 6 B e 7 a b y k E 3 8 p T / x l + j v K / Q 8 X 4 Q 9 n 4 Q + X U m 6 Y D X 3 n m V S e f A 8 q s U R j P 4 3 9 2 x P v 5 / 2 j k Z 7 P s 2 X w V t c 2 / U c D Y r R d 1 8 0 r j c W G P G b 5 a b V u P 9 6 a L b F 7 U r s 2 O J K u d r C H + f a u y f g w t 1 z / E + n z q h t A C W 2 a t L 1 s 5 O q q N o p j t r V Q R i c n J 0 6 + C / w I Z 0 + 0 O x u A Z O + F j U S w 1 x G S 6 / X w i G V a d N A S J x S 8 B w q e 0 r Q N / I X z 3 Y c X 5 A 7 m r g H d S O m B J Q p / A 1 + Q f Q 6 l x O U y p K C p + 3 7 b e V i / 2 W 2 V y X W i D q m y F B R W g r W U o u W T / I p J s E h S t C 6 S X w o J V j + K F j z y a x z B s k b R S k Z + 8 S J Y r y h a o s i v S g Q L E U V r D / n l h m C F o W h R I b + O E C w d F K 0 W t D v K J J b 5 C R L L h b n k 3 P R x X s a 4 Q U n i a F 6 4 p + R E k 3 I U p W U l O i w P U V r q I S H b 0 F F n k u 7 s 2 f b v z v 4 9 N w w d / e W d T e Z z 4 x h y 3 8 0 a W y x q x V m F 1 B t x M f P v + P 3 7 p 1 h n 5 / t O R 0 5 W m Z + b e b E m 4 O O s o d n B 7 t 1 i d l 3 / N F s 8 1 M 8 i J B 0 f X c z M / / 3 9 6 H j 3 1 X r / + Y / 1 3 7 f G E H V g s 6 A V C 5 s g e X z 0 n e X c 0 S B 4 E g W K 5 w p F 0 / I h 0 d R 1 u 1 3 N 3 5 I u A i f 0 Q a x Q c V 5 E c W J R y p I 5 p O M s S k d D o l e n M y 5 r G B c 7 f D T t J 7 B V Y N b k I G b p l I X D o 8 N i k y f z a Z K y l A 7 A o E j G I L d z Y M c 2 / z 3 e / S P E p P n W o A I P h k G G r N H m 3 W L e K H e z H 1 h D b G 6 1 t 7 H 1 7 l z l d m k 7 t a I C c C q E U 2 j z p b E c 2 y H s H H 3 5 m 9 E 2 8 / u 5 + f G Z J W L 0 7 w + r b X 2 5 / c 3 A + W r z + G m T e Q 8 M d q I 4 M C f a o c p P 5 e U o q s Z n 8 4 s 5 q r R 0 2 H 6 d K 0 C c B b s M W I T 8 V G 8 M d m 6 3 t H W a 8 e s 0 J F B E z 2 b O O u l c A C O b M c r + d 6 9 A p D V a H r R G j d Y 4 6 j 0 O k l q N I J Y 0 T Z N 0 d V b y E 6 W 7 i W o W 1 K B Z m h 4 0 S x N n F U e m i E O J x a h K 1 i X G l h 4 f L x 8 W C 1 a D C K k L U 5 I V p q Q n T E l I m J K C U E o 6 K K U Z 5 B M L p o l g n i 6 C V S O C 0 p y 2 r o z O K Z C a F P K o c + j t f 0 t N D h l + q Y 9 S k 0 Q e O V 5 C A j X G K / J t D 5 f l 4 Z m T N p H M E M t d 9 6 v O G x J L K O l 9 5 f h F J P O T N 8 d l 6 Y m a N K E b V 8 C B t 4 E B u l F L h g c s W t Q D z g Y 2 w P S e A r J + g T e r X x 0 u C z T z R n Y E y 6 S J 5 5 z l A k K 8 b Q t w T 2 J C H A m R 1 A E 2 v 4 3 n v Z e B 7 p n T L y Z h L n j L O o J x E n N S Y k Q E p X R T 2 4 Y y U 9 i T g o Z I r m D s A f T 3 D B I D N Q 2 L X M 3 V a r w g e n P Z J 5 K 6 m T + e 9 L 2 8 k M 7 F A 9 P L i / O c u S 8 x 2 3 4 C F w 4 z L m 2 Y P W q x / D O E m x I Z P 8 B 8 1 e W O 8 Q P I M + w 9 s c x w m i 2 Q p c f n N O K N D E S G G h B b M K I i D A Y D r + b H k + W 6 7 c A E 8 r 7 p / / K 7 u a G s 7 t + S c B 5 m 0 6 t J X G t 9 4 2 H c I 8 P j k m 7 N 2 4 s S M X U 1 G H 4 2 T o d f R R d n e u R I w C j d 7 2 k v h s T U x c d g 4 A f S Z Q P O Q V n r t G D n / t K 3 7 i O c u A h + 2 n 3 E s O f C P w P w z D o L N 8 8 B z H t N f 3 V I G c T U 1 2 y j Q 2 c a z 1 / T X 5 1 J S F X e r 6 G M C O v 1 Q M d 8 w s m I i 1 E L y K S 7 5 L M E n 3 w c A Z H E Y s C S C b z x N C r / K k A h + Z q U x 5 / g n l Q E f X p l y m 7 S x / C e V B 9 i S o j z y I G F u F s z 4 s + j n h b k Q 0 H e E e z 3 w B 4 N z m f B e S V 4 v w M 5 E J N D G D D 5 g X 0 P j H l o u U u 2 o 2 Q M S r a d b 6 G 5 1 s f Q K y W u n y B U / q 6 G 9 5 U 4 V s u i h s U 6 k 9 O B d A 1 + v H v w T 3 v 3 4 P j j H b 8 / 8 h 2 / j 7 f O / r C 3 z u Q C m 7 G S m l I R T b F s 5 r / G b T f B 8 u X d 0 l H 7 M G q I / / 6 7 n E B Y + u 2 N L O H 6 x v 8 p K e m + a Z u 3 I s 3 Z 8 i G s g s T z T D n g P L P z Y z / B T n m N e 3 3 7 X D y N H u h 4 L h P u i f 1 e V o 9 A D e + p B I T H r 5 j 9 / h R 0 D 2 8 2 d r Y N + 1 a 1 e 8 X z q 9 X 9 1 X w p y c 3 U H j q D r f q 1 s H 2 + F r a 0 1 8 I 2 4 y r u / o / K / c M + F H T + s u H v H f 7 r P S G x + 0 7 f r Z b 1 p 9 0 g t r S a P F N K m C o 8 t W a 2 o C U D T R N o a 0 D j A V o D c H u H + y b Y C M l v F f i t m X L y 4 x N m v h 1 r E 5 l 2 P X T a r Y M z b i x G L c G o m R e 1 4 a I G W t T 6 i p o 4 E f t F b K 8 i 7 Q 2 / x Q 5 P 4 D 0 d 9 4 j X t H w c h p E Y A 9 P 8 T 1 K 3 z q r v l s Q G z 2 j q D j w d s A P v b i M N e k p x J t m e w n V f P o o U I S f R y I k Y w y K Q K n 3 O b N I t e 4 n w g N P l K / L z 0 e H 1 o o 9 e 2 h 6 j e n u 9 i 8 a n + U 6 + R 4 1 H + + r P 6 Q 6 4 5 w n x O 0 E Y D g w I J I c X / 3 e P h s l + d i X 4 2 c E c / a F 8 6 x / 9 4 G l + 8 I S V d f w v 7 Q C P L N H w u B 1 b s u 5 x X F q + 3 l F d d P M 8 0 f H O H 0 q P P 4 R n 3 d H 7 r D 4 / / u g k / + g k T 3 G S A 5 O k P / g m W a U x i 7 D b G n + Y v 2 2 2 w o 1 N W W S T b f Q v i 8 w v c R 9 k e 2 H E l 9 X X d g s 9 O a 8 3 1 6 1 A S y Y H f 2 e I Y B Y z M g Z L 0 x C u t C R 0 B M w 3 C S 9 N A b H H o / H x q K F i h M k Y v T 9 4 T x R Q H E W v Z n k E m e H t w e z I / I e g 2 R y R R o e e k f w n U o 6 9 y b w B w 7 Q 0 7 1 Z F S 8 d 9 1 f X J f M l A / 7 d P P t m 8 m R m d M X p 5 f m Z Q W d T b p q d N K G T + / G r z e H K + u n 6 4 t 7 V t v 5 4 3 P o Z l s 4 c + O z q 1 + Y A 2 p 9 u 3 9 d V V r U 6 / n V + t Z + v f T r 9 a m P 3 o c r t a z 2 7 r 0 9 f L + n w 9 f 6 w / + 9 p o p b W 1 A g 0 F z 2 t 7 X N j U l / u 9 7 X Z u f l j W y / 0 P V u w v t y f f P F z V 6 + 3 D 5 v S 5 a V y b h f z Z 6 M W P B v y v 8 7 u 7 2 m Y q O n 2 x N A r C d H 9 s t p B T P d b 5 6 f X m s R V o w 5 3 l 6 d 5 M t f 8 8 P 7 M d T k w H c 5 Y e / W d 3 B j d 0 N s z e m b z m z z L T x 6 M / L 6 9 X T Q K j z 0 d F P h 6 r v 3 Y s / K a e W Q K a J 9 u G K W Z N N V v x Y z 1 7 6 N n 5 / X p 1 b 0 7 1 u 7 7 P 7 I Q a o L t f z x a L y + v Z w n D q 8 + 3 6 o f 4 r I x 1 R 4 Z A w M S L 6 P t x S X y y 3 x e T E f t 2 c r H y l 1 U i M 3 V 2 3 8 / u 2 P d h x a Y c g q V M w v H N G 8 J 8 i n i 3 M q b S u l 1 + Q l p + a p y 5 O r W G u i 7 3 L s j C m 4 O 4 M y 3 S Z 9 b Z 6 W i + j + 7 a z + W I j 9 N 4 Y G 5 4 2 t z v f S M S c 9 u H B f b k r u y y P 2 P X a 2 8 w J X R J g 7 s 3 p h C 4 J o / V m e F I n f s R X X d Z A e Z p R N 2 l U 5 1 w g D n y 5 O 4 j S F s c y Z x p 3 J w T a 2 p n / t G l / g h D h t e Y 4 k l d 6 V d 3 v Q Q / r f v u f b c 3 y x e x m X W 9 I m z E L p O b D U 1 u g F R N L z e B / c 7 6 q G w f Y c j b b b I O z Q f P 7 6 r b B Z m / Z W A / U F 1 R 5 R Z I L B D D n t r q 8 G b x 2 r c x 2 + N v a 7 s 7 G U h h Z i V w 1 p 6 I 9 L T f N b c m N K H X M 4 3 X A y 4 b O a 2 O e G r m Z N V n 6 A i y 7 G 5 o 7 M 7 2 D y n d 9 3 K k 9 v g c o E C 9 A 3 t O R 2 D s 4 s j P 9 m k l h m U M z D d J 2 / k U Z 7 E s O 1 4 H w x D I S 0 k F R e k I 6 6 F m E D i F z I e 0 7 C M H L C G T h T R 7 t O w T y i w j N / r M x M m U v B k y J / 7 Y M D D U M 7 z N 5 M P q + g G a o x Z 8 l X f Q P P t 2 n J K W 2 W J e b l J v c b p m 1 t Z 3 4 s f 9 G k 0 6 4 u Y v T x t f C + J k 0 / i R t / E w Y P 5 f G L 9 L G n w j j l 9 L 4 0 7 T x c 2 H 8 S h q / y R 2 c A K C Q G C x y W C W y u J Q g i D x W i U y e S h B E L q t E N l c S B J H P K p H R D b + w P g v e D i X p j d S n O C x R n X D Z E y B Z 3 F i 4 L o Z o D 6 1 E C F i 4 C A R J f + h M h I C F i 0 C Q N I j O R Q h Y u A g E S Y f o U o S A h Y t A k L S I F j m d J X J a U i O Z y O k s k d O S G s l E T m e J n J b U S C Z y O k v k t K R G M p H T W S K n O T W S V q c Y f 5 j 4 H o 8 l T N y n J l j A Y F V j D s J E 3 K c m W M B g C W M W g m y L Y A G D 9 Y p Z C O I + N c E C B o s T s x D E f W q C B Q x W I m Y h i J z O E z k t q Z J c 5 H S e y G l J l e Q i p / N E T k u q J B c 5 n S d y W l I l u c j p P J H T S J X g h A f M O d 2 J V w L 3 B Q z l + v 2 i c V 2 / e 3 q Q l 4 K J R H z 9 D 4 T w L 9 e R x I L 9 j k N D e Q F b m g m d L z f b 9 c P 1 t n 5 Y y 8 C a 3 j f z 9 d w W d 0 j o u p 3 d X 6 3 q t X U A G l Y k f A A C 1 l H G u v H g d L b y X 0 X j 2 g J L U 7 p p q d u w 8 H e U m T w g j 5 W x f i E f + e 5 t h g H J 5 + f 6 H t C 3 N J d C a F s 0 C Q h E E P Q O U A h J T M d A A L 6 4 i A F 8 4 G m C O R w o i L M I C M 9 i I k C Y D B A U z C H e p P S s E e y + I u 7 v B d j f G 5 i k v r Z v 5 Q b C F r X 2 C t E G K I A N Q L H Q S V h I F m E h 2 g k F s B M o F v T U g r C Q r M Z C 9 m E B W 4 J i M U n C Q r I s C 9 H e K I C 9 Q b G g 5 y u E h W R 9 F q J 0 l k n S W S R h I V m o p S i d Z Z J 0 0 p M g w k K y Y k t R O s s k 6 Z w m Y S F Z u q U o n W W S d F L v B M J C s o Z L U T r L J O n s v a m y 2 g I m c 4 + H K J / T N O 2 Z q D 4 l / T k V J X S a J K E q T Y E q S Y N O R R m d J s m o S l O h S t K h U 1 F K p 0 l S q t K U q J K 0 6 F S O F 6 T J a Z o a V U C P S t Z U g n E x N J 0 U O w v i K q n Q K r G g o z a G Z 2 1 G b Y x K X C M V W i M E C 7 R E K B b S C q n E F V K h F U K w Q A u E Y i G t j 0 p c H x V a H w Q L t D w o F t L q q M T V U a H V Q b B A i 4 N i I Y b c I j G 3 J P F E R g Z F Q w z M j e X I 3 D h J Q J G Z Q f E Q w 3 d j O X 4 3 T h J R Z G h Q P M Q g 3 1 i O 8 o 2 T h B S Z G h Q P M R Q 4 l m O B 4 y Q x h c Y G 0 F + S s a H G s q S i 8 D D A h I o Z x I R 2 c 2 L I s q i i K D J A h O s F 7 A 0 W E V l W U b A Z I E I H g Y j Q b g 4 i s r C i m D R A h E M X W B w s I r K 0 o t A 1 Q I R S A x F B 3 Y B X J c W P 8 e T g t p I X B w p v N 1 D j n o y m k 7 2 b d r c d N a 8 5 V v U v B k 1 m v A F 3 b X T k L g Y 0 2 0 n Z 8 A E o m z G R r F O 0 J Q t G g S i 7 h z Y n F X E / C Y 8 2 t N g H x f W V l l c G i r t T t O G Z g E e b y i R C W 7 K R F I j W u 2 h n S J 0 T t O E R g k U b h e 8 B 2 p J R p T J Z M 6 P 4 P U W b 4 z q D N i d 4 1 A j j t C c I + n t Y U x E C W P O d I N a c 3 F G T j c V a V n 0 o H E + x 5 s U f Y Q 3 C 8 w h r O m i P N Y j h e 1 h z m g r b d 2 l Y c 1 J H z U E W a 3 m j R 0 F 9 s M 3 w H I F o c x I F j E c W b 8 o K D 2 9 + I m O 2 I 4 8 3 u h 2 A 8 J Z M T f l 2 g E L X A w D e f C + I d 9 o m K V q m 4 F a B h 3 f S J g k t U w H v t F 1 S N G T l e w Y K X T Q A e P P a H e K d t k 2 K d i + I V H l 3 Q p O 2 S d a g x X j j u B T F G 4 5 6 2 O 2 t I c n U 2 b 1 Z j n M p H O g 6 S z G V z 9 J N 5 U G 3 w Z Q c F F M 4 K h a i D E 1 l B m U z J t S 6 g 6 6 Y K R A n 8 9 C G g h + i D U 1 l F m 0 c F B t 0 b 0 3 J A S + F I 1 4 h 2 t B U 5 t G G q m 7 Q Z T g F Y m A e 2 t w 6 x K Y y 6 Q T R 5 g S P m s q c 5 p J j W Q o H s 0 K s e f m H W H N y l 2 4 p g 9 i W d 0 M e 6 t s Q a 2 6 F Y a x x G A v e B G S x l j U f D l C F W P M M g V h z A p V u K Y N 4 l Y c 1 P 4 0 x S 5 n H m i M y 3 V K W o z 4 K h n 3 o L s P 3 Q m i D G A / c a i R L G U S C P L w 5 R Z V g K f N 4 c 4 I 3 w F K W Y z o K B n U o 3 r x q h 3 i n 7 Z G i p Q z i P B 7 e S X s k t p Q 5 v D U M 6 g C 8 B U t Z y / E a D e M 1 F G 9 e 4 0 C 8 0 3 Z J y V L W I I D j 4 Z 2 0 S 7 I 2 L Y N 3 2 j a J v O g D U g e y z 2 H k E I 4 G I R z n W 1 G N a U m V a D l O o s G y O C D 5 o z + A n 7 z Y b 0 O p e v 0 e s a S y D C x K B 0 o A n A 6 K 9 v b S L s u g a I 9 Y o l s G F F 0 n K F l x O i j a 2 0 s Y L Y O i P W L J d x l Q d C W i x M r p o G h v L 9 W 1 D I r 2 i C U E Z k D R F Y y q I a S D A u b P K + f d Z p + G b P T M P 7 O D y 9 + D k u D y T y t F 0 1 W j j a S B G z u 0 v / I e n H W 4 o O N 4 0 N c Q 0 k / Y 6 N m 9 z Z B h i B z d 1 Q / / M B N z v 7 q t F / O 3 d + j 2 f 0 e U a L N o F D a l R I F j P U c U O K w f S J R B T j h o a B B n 9 Q g D R g 0 l D B z 8 O c L A c f 5 g w k C o t C d M j l l q F L O k h A H X A E c Y O P A f T p h k z s l R T Y 2 i m p Q w E G f j C E P X 9 Q 4 m T D i p a z n u q V H c k x I G 7 j d x h I F L T o c T J h w w t R w Z 1 S g y S g k D F 6 Y 4 w s C t q Y M J A y F W h z B Z 1 a P Y K S U M 3 M D i C A P X s A 4 n T H B 1 a T m 8 q l F 4 l R I G r n R x h I F 7 X Y c T J h 0 S 5 A i s R h F Y s D m D O 2 L s 7 o z e h B 9 K G g j m 9 q T J Y V q N w r S A N G 4 t I t K i f Q d Q J h 2 E 5 V C u R q F c Q B m 3 4 S H K o n 0 H U C Z Z H 3 K w V 6 N g L 6 C M 4 y y i L N o 3 n T I Q N X a S c 8 j m B w o H A 8 o 4 B Y o o i / Y d Q J l k f 8 g B Y 4 0 C x o A y r h e i L N p 3 A G W S A S K H l D U K K Q P K u N W I K I v 2 H U C Z Z I H I Q W e N g s 6 A M m 7 X Q 5 R F + 6 Z T B q L X D m W y C Y J C x I A y j r O I s m j f A Z R J N g g I F X u U J d k g 7 P k N U R b t O 4 A y y Q i R H 0 t q F B g G h 2 m u F z p N R / u m U w Z C z k 7 C J N k G Q b F j Q N k A G y T e d w B l k g 0 i P 6 f U K L w M K B t g g 8 T 7 D q B M s k F A 3 N q j L M k G Q d e V W c o + o A 0 C o t s 9 Z f J j S 4 3 C 1 I C y A T Z I v O 8 A y i Q b B M S / P c q S b B D W U 4 I o + 4 A 2 C I i S O 5 T J N g g K d w P K B t g g 8 b 4 D K J N s E B B H d y l D E X F A 2 Q A b J N 4 3 n T I Q a 3 c o k 2 0 Q F D M H l A 2 w Q e J 9 B 1 A m 2 S A g F u 9 R l m S D o M c F L G U f 0 A Y B 8 X q H M t E G y V D c H f i 9 B 9 g g 8 b 7 J l G U g o u 8 X m A J t f T k p v 9 G p H e U 3 u M W i W F j R 4 l D B F E f y T s t 1 s Y T O o C o W 7 o 3 q Y u G e s D B W 6 M l q C j e 7 x a p A l e b 4 Z d n D y z + z e Q / B r Q 5 P v o X d N Z M v X m T g 4 o X z r a g x M n D B o a X + Z r 8 K e m L F i 7 Y Z u A v h A R K 2 o g z c h X C / l W 4 v Z c A 3 5 n 0 L j D u W Q D E B N X D o e I A k L g D H g v e t Y A 9 n c k Q w Q 6 d E l k B J y s C h z M v M K j E B H A 6 8 b 0 W 4 8 r w i S 4 + l T z g x Z c C w 8 u B I P A A b v P e t J N x y t C l D 0 S a W P j o X Q v G + Q J K T S v k F 3 x x U B j b Y t l J q w I Y 0 c X U C / X 7 n 8 8 3 1 Y j Z H B U 7 O b L W s 9 g L U j e H E 6 F l X q + i z F + e A U F u j 6 b O / / P A t x c V W X 5 r Z G y F t G S W / 9 c v a T K W t D v J m Z X a G e v G m n t M 3 C 7 b T b H H D l l r q B t l s T R 8 6 g 2 Y j s r O B 4 N s 6 X C N b 4 o p W / H i + q m + M p b L 2 B g 6 o / v 7 8 6 z + N u j p R t g 4 Y l c W 2 g s Z u D 2 5 L g s z x 3 u v V x + h 7 j t j N I / I F u n P h l c t I h S F 8 g W G c J V N 8 h v D H P R E W f s / / o u X e H + v 1 r z Z Z o F u b 8 I f 6 f v X o l I O 2 3 z q F w 2 z F Y a f I F q 6 r h U t p s d W z o g W z a I 0 s p i x W p B I W W / w K 1 7 u S S 1 z h q l Z y I S u u d l W s X B V f o S p e l E q s Q + W V n g q r T Z E C U 3 5 N K a + M F K 4 c F Z R 6 o t W d D i 6 q 9 I E r I 3 F 1 j u T S R r C a U a y A U b R m E V 9 + C F S t i V S i i V a X S a 4 Y 0 9 k c R 0 2 p 6 r 2 J 4 Q w R X J p 2 v 2 k K u H j O B P Y 7 7 X 2 X B d 9 N 2 O 8 y 7 7 s 8 + K 5 g v 5 t 4 3 5 X B d 1 P 2 u 9 z 7 r g q + a 8 4 c f B k U N 0 F I + C U / N a X / Z T g 3 i p + c q f 9 l O D u K n 5 7 K / z K c H 8 V P U D 8 F F w m p V 9 y X F 6 G s u A N J Q q a J l G n 2 S 1 / M d D i X e s J + 6 Q u a D u d S F + y X v q j p c C 7 1 l P 3 S F z Y d z l D G z 5 A v b V k 4 Q x k / Q 7 6 0 Z e E M Z f w M + d K W h T O U 8 T P k S 1 s W z l D G z 1 A v b W k v m B 0 o 4 W x O 3 K E k e Z u E s z n R 7 J e + v E 2 I X p u w X / r y N g l n c 1 K w X / r y N g l n c z J l v / T l b R L O U M 7 P k C 9 v e T h D O T 9 D v r z l 4 Q z l / A z 5 8 p a H M 5 T z M + T L W x 7 O U M 7 P U C t v j d U g Z M O X E + C n 5 L y P 5 G g X 0 r L H M 7 G H C T s j y d f D Z F t p i d T D 3 A O R b O j h A 6 x o Z v M d E e n 2 S 5 t b 3 D M O x v 0 4 5 F 1 C O E l A D x S h l B e a G V B z A / r q o Q i F v 5 g w A 2 b c g L 7 W K I g 9 V D A D T r g B f W V S h E u l m D I D 5 t y A v o 4 p Q q a U H F M K b k B f 9 Z Q h U 0 q O K S U 3 o K + R y p A p J c e U K T e g r 6 j K k C k l x 5 S K G 9 D X X 2 X I l J J j i h p z I 7 Y t / Z A h W 6 b s W u E X i 7 9 a p i F j p h x j F L t c l L 9 e p i F r p h x r F L t g l L 9 i p i F z p h x z F L t k l L 9 m p u R w w b K H X T T 7 l i E J l B 0 M Q m 5 W 4 3 4 4 p P l w K m P n 2 B P y s t L M g J o b 0 O d k F X K y m j A D Z t y A P h + r k I 9 V w Q w 4 4 Q b 0 u V i F X K y m z I A 5 N 2 B w d K R n R 4 4 r B T d i c K Y c k 0 P l m O N L y Q 0 Z H D b H 5 L Q 5 5 j g z 5 Y Y M T q F j c g w d c 7 y p u C G D 4 + m Y n E / H H H f U m B s z U I F t f l t v U M U u G 3 7 d B P 4 Q e u 5 X H I s U u 3 Y C N a i o S 0 B x T F L s + g k U o a L e A s W x S b F r K F C F i j o S F M s o d h 1 1 a n K g g 4 F 4 G J Q e 9 y N B C 5 B J t t W 3 i s 4 v 4 p h Q W j M A t Q x w l y o V A g 2 E o X V h e E B z B m g W B V p w Q A N h I U 4 N p a c M 0 E k U a M U B D Y S p d X + 4 Q D P F A M 1 j Q D P N A c 0 D o G S t Z R M G a B E F m n N A A 8 X e u k 4 8 o C U D t I w C n X J A Q z 8 j W S 4 T b r l M Y 0 A n i g M a b A 6 t K 8 U D m j F A q y j Q C Q c 0 2 D 6 I c 0 V N C g a o G k e h l h z U c I N p H T E e 2 I o D G 1 F I u + y W G G y g l Y h z R u W c V l J R t Z S z a i n c p H K i l 3 J O L 6 m o Y s p Z x R R u Y 8 S 5 o 3 J O M 6 m o a s p Z 1 R R u d A X R T Q W n m 1 R U O R W s c u q + H e r 9 V M T X o D p n A 8 q t K O T T 6 V v F z Z D 4 I l T n j E C Z E c V E T 0 X J A Q 2 E r i B L r K g Y o F k M a O e Z i L h q F X F B q F I z Q C d R o B k H N B C 4 k i y v M m e A 5 l G g B Q c 0 2 A y J 5 0 F 1 r g e U E l A G W n F A g 8 1 w S p b W V D F A y x j Q q e a A B p s h c T W o K b d c p l G g O Q c 0 2 A y n Z N u f l g z Q K g p 0 y g E N N k P i L F D V m A G q x j G o l e K g h p t h R T b + K u P A R h T S L o E d B h t o J e I n U B W n l V R U L V W s W g o 3 w 4 r o p Y r T S y q m m P S Y V U z B Z q i J g 0 C P O c 2 k Y q q p z f 6 G w Q Y R z 3 G o m 9 q 0 b h B s T D n p M a u c V B A u J V 6 B N r W a 2 4 P E n A O x 1 O S 8 r n d i k J 5 / y R 2 N x J t 3 0 4 x z I 8 n p k J 6 Q A M l F i Q S y d 8 d 8 n N l I T m b 0 x P R F L l r h A m m T F H F 5 i e R U R E 9 M P u S g B a 4 a a A a t i Y g W a h 2 Y O s h F i y y w 3 Z k f 5 w S S 0 w A 9 M f G P i x Z Z g D u v A M 7 o I y f x e W L a H v f S R 2 h A 6 E w x a J U i W q h 1 Y N I d F y 2 i H D J O O U x F t F D r w J Q 5 L l q h E a K z k k G r E t F C r Q M T 3 r h o E d W 9 8 0 4 w m W w i y W u e m K 7 G Q Y x 4 M P Q k 4 x C L K P m n a P l d t h k X M a L p J 5 y m V 7 K q h 8 0 D k 8 W 4 i B F d P + F 0 v Z K V P W w e m O v F v e N F t H 3 O a X s l q 3 v Y P D B V i 4 s Y 0 f c 5 p + + V r P B h 8 8 B M K y 5 i R O P n n M Z X s s q H z Q M T p T i I E X + M L j i d r 2 S l D 5 s H 5 j l x E S N a v 2 B N Q l n t w + a B a U p c x I j e L z i 9 r 2 T F D 5 s H Z h l x E S O a v + Q 0 v 5 Y 1 P 2 w e m C T E v d h J N H / J a X 4 t a 3 7 Y P D D H h 4 s Y 0 f w l a + N H j P y n a f 4 y 0 P w l 0 f w l p / m 1 r P l h 8 8 A M G w 5 i 5 L K K n n K a X 8 u a H z Y P T J D h I k Y 0 / 5 T T / F r W / L B 5 Y H 4 L F z F 6 r Z n T / F r W / L B 5 Y H o K 9 9 I 0 0 f w V p / m 1 r P l h 8 8 D s E i 5 i R P N X n O b X s u a H z Q O T Q 7 i I E c 1 f c Z p f y 5 o f N g / M 7 e A i R i / A c 5 o / k z U / b B 6 Y m u H Q v A D O F f R x u G O 0 T / b d H u F 6 b x / m u z 1 C b r X P 7 y M v 7 t 0 B Q i X c P q t 3 X w + E S y g L 3 K j t e 3 m / R y Y j E b z 3 U Y T O w J v X v n b 3 e w R P F Y j P K N t Z H u L L d W c A T e j U A Z 2 a 0 K n D M Q g h O 0 U r P i 9 3 B y B 0 6 o B O T e g M P B w Z 8 X B k m Z K R a H D 0 n j 7 H X z u 7 7 5 v J k 2 b u F X P w c B m 8 U / a f J v u v k f E D 5 B F + c 3 z 0 4 v t R h 3 N D f v v s 2 H 9 G 1 7 w W 5 p / R u Y + J + 4 w m 3 Q t g 4 X 2 d + 0 T Y / 5 K + 5 X s p v + V 7 K b z l 6 9 / 3 / r R a 3 N p H j + 2 D + v 1 j 3 / 4 N r / P W 1 3 Z b 9 4 9 9 0 c v g Y 5 s c x k z m z e y 2 E S 6 j C Z f z W z v v y 4 f 7 n Y h 8 Z 9 3 u j 1 2 L / e n l 6 t 6 + 7 Z 8 t F s 0 D T f v K s 3 m X u q h v Z 7 Y C w q M V J a s Q 7 1 Z L O 5 j z y r F 9 x N v K 4 / 7 Z p n 2 z 2 R R V q X + Z L / 7 n v x s p D c Q 3 H O b n e n E X v A z 9 Y j e N l 3 T i L + W J v 0 x / R L n / 4 S L 8 4 S z 8 4 V L K A 7 O h j z y T S p H v Q S W W Y + y n s X 9 4 4 v 2 8 f z H S 8 3 m 2 D B 7 q 2 q b / a E C M t u u 6 e a K x 2 J C X L D + t 1 u 3 H W 7 M f d u 9 p 1 w Z H 0 t U O 9 j D f 3 j X Z H e a W 6 3 8 i f V 5 1 A y i h T Z O 2 l 4 1 c X d V G a 8 y 2 F s r o 5 O T E y W 2 B X + D s i X Z n A 5 D s P a + R C P Y 6 Q n K 9 H h 6 x T I s O W u K E g s d A w T u a t o G / b b 7 7 8 I J c w N w 1 o O s o P b B E 4 W / g C 7 L P o Z S 4 X I Y U L 3 U f b z u v 6 j e 7 f T K 5 J t Q h F Z W C I k q w b l K 0 V J J f H Q k W R I r W Q P L L H s F K R 9 H i R n 4 9 I 1 j C K F q 1 y C 9 U B G s T R c s R + R W I Y N G h a J 0 h v 7 Q Q r C Y U L S D k 1 w y C Z Y K i l Y F 2 5 5 j E k j 5 B E r k w b 5 y b K s 7 L D j c o I R z N A f e U / G d S P q K 0 D E S H 5 R x K S z M k Z B Y 6 6 k z S n T H b / t 0 Z v + e G o a O / v L O J e 2 4 c Q + 6 7 W W O L R a 0 4 q 5 B 6 I y 5 m / h 2 / f / 8 U 6 + x 8 3 + n I S S n z c z M v 1 g R 8 n D U 0 O 9 i 9 W 8 y u 6 5 9 m i 4 f 6 W Y S k 4 6 O L m f m / v x 8 d 7 7 5 a 7 z / / s f 7 7 1 h i i D m w W t G J h E y S P j 7 6 z n D s a B E + i Q P F c o W h a P i S a u m 6 3 q / l b 0 k X g h D 6 I F S r O i y h O L E p Z M o d 0 n E X p a E j 0 6 n T G Z Q 3 j Y o e P p v 0 E t g r M m h z E L J 2 y c H h 0 W G z y Z D 5 N U p b S A R g U y R j k d g 7 s 2 O a / x 7 t / h J g 0 3 x p U 4 M E w S I 8 1 2 r x b z B v l b v Y D a 4 j N r f Y 2 t t 6 d q 9 w u b a d W V A B O h X A K b b 4 0 l m M 7 h J 2 j L 3 8 z 2 m Z + P z c / P r N E j P 7 9 Y b W t L 7 e / G T h f b R 4 / b b L s g c F O F A f m R D t U + X m 8 H E X V O G x + M U e V l g 7 b r 3 M F i L N g l w G L k J / n j c H O 7 Z a 2 T j N + n Y Y E i u j Z t F k n n Q t g Z N N F 2 f / u F Y i 0 R s u D 1 q j R G k e 9 x 0 F S q x H E k q Z p k q 7 O S n 6 i d D d R z Y I a N E v T g 2 Z p 4 q z i y B R x K L E Y V c m 6 x N j S 4 + P l w 2 L B a h A h b 2 F K p s K U 3 I Q p 2 Q h T 8 g 9 K G Q e l H I N 8 V s E 0 E c z T R b B q R F C a 0 9 a V 0 T k F U j N C H n U O v f 1 v q Z k h w y / 1 U W q G y C P H S 0 i g x n h F v u 3 h s j w 8 c 3 I m k h l i u e t + 1 X l D Y t k k v a 8 c v 4 h k f v L m u C w 9 U Z M m d O M K O P A 2 M E A 3 a s n w g E W L e s D Z w E a X 3 l N A 1 i / w Z v W r w 2 W B Z t 7 I j m C Z N P G c s 1 x A i L d t A e 5 J T I g j I Z I 6 w O a 3 w b z 3 M t A 9 c / r F J M w F b 1 l H M E 5 i T k q M i K C U b m r b O G Y K e 1 L Q E M k V j D 2 A / p 5 B Y q C m Y Z G r u V q N F 0 R v L v s s U j f z x 5 O + l x f S u X h g e n l x n j P 3 G W b b T + D C Y c a l j b F H L Z Z / h n B T I u M H m K + 6 3 D F + A H m G v S e W G U 6 z B b L 0 + J x G v J G B y F A D Y g t G V I T B Y O D V / H i y X L c d m E D e N / 1 f f j c 3 l N X 9 W x L O w 2 x 6 N Y l r r W 8 8 j H t k e F z S r X l 7 S y K m r g b D z 8 b p 8 K v o 4 k y P H A k Y p f s 9 7 a 2 Q m L r 4 G A z 8 Q L p s w D k o a 5 0 W 7 N x f + t Z 9 h B M X w U + 7 j x j 2 X P h n A J 5 Z Z + H m O Y B 5 r + m v D i m D m P q a b X T o T O P 5 a / q r M w m p y v s 1 l B F h v R 7 o m E 8 4 G X E x a g G Z d J d 8 l u C T j y M g k l g M W D K B N 5 5 G 5 V 8 F K C R f k / L 4 E 9 y T i q B P r 0 z Z T f o Y 3 p P q Q 0 w J c R 4 5 s B B 3 a 0 b 8 e d T T g n w o y D u C / R 7 Y o 8 H 5 L D i v B O 9 3 I A d i c g g D J j + w 7 4 E x D y 1 3 y X a U j E H J t v M t N N f 6 G H q l x P U T h M r f 1 f C + E s d q W d S w W G d y O p C u w Y 9 3 D / 5 p 7 x 4 c f 7 z j 9 0 e + 4 / f x 1 t k f 9 t a Z X E w z V j 5 T K p g p l s j 8 1 7 j t J l i + v F s 6 a h 9 G D f H f f 5 c T C E u / v Z E l X N / 4 P y U l 3 T d t k 1 a k O V s + h F W Q e J 4 p B 5 x n d n 7 s J 9 g p r 3 G v b 5 + L p 9 E D H c 9 l w j 2 x 3 8 v q E a j h P Z W A 8 P g V s 9 + f g u 7 h z c b O t m H f q n a v e H 6 1 u r + a L y W 5 m d p D Z 7 B V v x a 2 z 9 f C l v Z a 2 G Z c x d 3 / U b l / 2 F e C z l 8 2 / L 3 D f 7 0 n J H b f 6 b v V s v 6 0 G 8 T W V Z N n S g l T h a f W z B a 0 Z K B p A m 0 N a D x A a w B u 7 3 D f B B s h + a 0 C v z V T T n 5 8 w s y 3 Y 2 0 i 0 6 6 H T r t 1 c M a N x a g l G D X z o j Z c 1 E C L W l 9 R E y d i v 4 j t V a S 9 4 b f Y 4 Q m 8 p + M e f f o J q 2 r 5 Q A w j M g a o + Z + k b 5 1 l 3 6 2 J D Z 7 S 1 C 1 4 O m A L 3 l 1 H G v S W 4 k w y P o X 7 v n w Y K U J O o p U T s Y Z F I F X 6 n N m U W / Y W 4 Q H H y 1 f k 5 6 P D i 0 M f v b Q 9 R v X 2 e h e O T 3 O e f I 8 a j / a l n t M 9 c M 8 T A n i C M B w Y E U i O L / 7 v n g 2 T H e 1 K c L S D O f p D O d c / O s L T H O E J K + v 4 X 9 o D H l m i 4 X k 7 t m T d 8 7 i 0 f L 2 z u u j n e a L n n T + V H n 8 I 1 7 q j 9 1 l 9 f v z R S / 7 R S 5 7 i J Q c m S X / y T b J K Y x Z h t z X + M H / b b I U b m 7 D I Z t v o n x a Z X + J O y P b G i C + r r + 0 W e n J e b 6 5 b g Z Z M D v 7 S E M E s Z m Q M l q Y h X G l J 6 A i Y b x K e m g J i j 0 f j 4 1 F D x Q i T M X p / 8 J 4 o o D i K 3 s 3 y C D L D 2 5 P Z k f k P Q b M 5 I o 0 O P S P 5 b 6 Q c e 5 N 5 B I Z p a R 6 u i p a O + 6 z r k / m S g f 5 v n 3 y y e T M z O m P 0 8 v y H x + + + N N g s 6 m 3 T 2 W Y U M n 9 + t X k 8 O V 9 d P 9 z b 4 r Z f z x s / w 7 L Z R p 8 d n d q E Q J v T 7 d v 6 6 q p W p 9 / O r 9 a z 9 W + n X y 3 M l n S 5 X a 1 n t / X p 6 2 V 9 v p 4 / 1 p 9 9 b R T T 2 h q C h o j n t T 0 x b O r L / f Z 2 O z c / L O v l / g c r + Z f b k 2 8 e r u r 1 9 m F z + t w 0 r s 1 a / m z 0 4 k c D / t f 5 3 V 1 t U x W d v l g a H W G 6 P z a 7 y K k e 6 / z 0 e v P Y y r R h 0 P J 0 b 6 n a f 5 7 / 8 N N 3 X 9 o + J 6 b P 0 a f H o / / s j u K G 1 I b l O 8 P X / F l m + n j 0 5 + X 1 q s l j 9 P m o y M d j 9 d e O k d / U M 0 t D 8 3 L b s M a s r G Z D f q x n D z 1 T v 1 + v 7 s 3 h f t f 3 m Z 1 T A 3 T 3 6 9 l i c X k 9 W x h + f b 5 d P 9 R / Z W Q k K i I S J k Z Q 3 4 c b 6 4 v l t p i c 2 K + b 8 5 W v u h q 5 s X v s d n 7 f t g f 7 L u 0 Q 5 H Y K h n d O C v 6 L x L O F O Z v W 9 f I L 0 v J T 8 + L F q T f M d b F X W h b G I N y d Z J k u s 9 5 i T + t l N O B 2 N l 9 s h N 4 b Y 8 n T 5 n b / G 4 m Y 0 z 4 8 u C 9 3 p Z f l E b t e e 8 s 5 o U s C z L 1 R n d A l Y b T e G E / q x I / 4 q s s c K E 8 z 6 i a N 6 p w O x I E v d 8 d R 2 u L Y 5 0 z j 7 p x A W 7 t D A G 3 a n y N E e K 1 R j u S V 3 l j 3 e 9 A j u 9 / + Z 1 u 3 f D G 7 W d c b 0 m a M A 6 n 5 8 A w X a M X E M j T 4 3 5 y v 6 s Y N t p z N N t v g h N D 8 v r p t s N n b N 9 Y P 9 Q V V X p E c A w H M u a 0 w b w a v X V u z H f 6 2 t n u 0 s R d G V i J X z d l o T 8 t N c 2 l y I 0 o d 8 4 Y d 8 L K h 8 9 o Y q U Z u Z k 2 m v g D L 7 q L m z l j v o P J d H 3 d q j + 8 B i s Q L k P d 0 J P Y O D u 5 M v 2 Z S W O b Q h I O 0 n X 9 Y B v u S I 3 Y g P L H E h H R Q l K W Q D n o W o U N I Y E j 7 D k L w M g J Z e J p H + w 6 B / C J C s / 9 6 j E z Z i w F T 4 j 8 x A 0 M N w / t M H o w + M 6 B Z a v F n S f f 9 g 0 / 3 a U m p L d b l J + U m t 1 t m b X 0 n f u y / 0 d w T b v 7 i t P G 1 M H 4 m j T 9 J G z 8 T x s + l 8 Y u 0 8 S f C + K U 0 / j R t / F w Y v 5 L G b / I H J w A o J A a L H F a J L C 4 l C C K P V S K T p x I E k c s q k c 2 V B E H k s 0 p k d M M v r M + C J 0 R J e i P 1 R Q 5 L V C d c 9 g R I F j c W r o s h 2 k M r E Q I W L g J B 0 h 8 6 E y F g 4 S I Q J A 2 i c x E C F i 4 C Q d I h u h Q h Y O E i E C Q t o k V O Z 4 m c l t R I J n I 6 S + S 0 p E Y y k d N Z I q c l N Z K J n M 4 S O S 2 p k U z k d J b I a U 6 N p N U q x h 8 m P s t j C R P 3 q Q k W M F j Z m I M w E f e p C R Y w W M a Y h S D b I l j A Y M 1 i F o K 4 T 0 2 w g M E C x S w E c Z + a Y A G D 1 Y h Z C C K n 8 0 R O S 6 o k F z m d J 3 J a U i W 5 y O k 8 k d O S K s l F T u e J n J Z U S S 5 y O k / k N F I l O O 8 B c 0 5 3 o p b A f Q E D u n 6 / a H T X 7 5 4 e 6 q V g I n F f / w M h C M x 1 J B F h v + P Q g F 7 A l m Z C 5 8 v N d v 1 w v a 0 f 1 j K w p v f N f D 2 3 B R 4 S u m 5 n 9 1 e r e m 0 d g I Y V C R + A s H W U s W 5 U O J 2 t / F f R 6 L b A 0 p R u W u o 2 L A g e Z S Y P y G N l r F / I R 7 5 7 m 2 h A 8 v m 5 v g f 0 L U 2 p E N o W T R 4 C E Q S 9 C R R C E r M y E I A v L m I A H 3 i a Y C o H C u I s A s K z m A g Q J h E E B X O I N y k 9 e Q S 7 r 4 j 7 e w H 2 9 w Y m q b H t W 7 m B s E W t v U K 0 A Q p g A 1 A s d B I W k k V Y i H Z C A e w E i g U 9 t S A s J K u x k H 1 Y w J a g W E y S s J A s y 0 K 0 N w p g b 1 A s 6 P k K Y S F Z n 4 U o n W W S d B Z J W E g W a i l K Z 5 k k n f Q k i L C Q r N h S l M 4 y S T q n S V h I l m 4 p S m e Z J J 3 U O 4 G w k K z h U p T O M k k 6 e 2 + q r L a A y d z j I c r n N E 1 7 J q p P S X 9 O R Q m d J k m o S l O g S t K g U 1 F G p 0 k y q t J U q J J 0 6 F S U 0 m m S l K o 0 J a o k L T q V 4 w V p c p q m R h X Q o 5 I 1 l W B c D M 0 q x c 6 C u E o q t E o s 6 K i N 4 V m b U R u j E t d I h d Y I w Q I t E Y q F t E I q c Y V U a I U Q L N A C o V h I 6 6 M S 1 0 e F 1 g f B A i 0 P i o W 0 O i p x d V R o d R A s 0 O K g W I g h t 0 j M L U k 8 k Z F B 0 R A D c 2 M 5 M j d O E l B k Z l A 8 x P D d W I 7 f j Z N E F B k a F A 8 x y D e W o 3 z j J C F F p g b F Q w w F j u V Y 4 D h J T K G x A f S X Z G y o s S y p K D w M M K F i B j G h 3 Z w Y s i y q K I o M E O F 6 A X u D R U S W V R R s B o j Q Q S A i t J u D i C y s K C Y N E O H Q B R Y H i 4 g s r S h 0 D R C h 1 E B E U D f g V U n x Y z w 5 u K 3 k x Y H C 2 w 3 U u C e j 6 W T v p t 1 t R 8 2 b j l X 9 i 0 G T G W / A X R s d u Y s B z X Z S O n w A y m Z M J O s U b c m C U S D K 7 q H N S U X c T 8 K j D S 3 2 Q X F 9 p e W V g e L u F G 1 4 J u D R p j K J 0 J Z s J A W i 9 S 7 a G V L n B G 1 4 h G D R R u F 7 g L Z k V K l M 1 s w o f k / R 5 r j O o M 0 J H j X C O O 0 J g v 4 e 1 l S E A N Z 8 J 4 g 1 J 3 f U Z G O x l l U f C s d T r H n x R 1 i D 8 D z C m g 7 a Y w 1 i + B 7 W n K b C 9 l 0 a 1 p z U U X O Q x V r e 6 F F Q H 2 w z P E c g 2 p x E A e O R x Z u y w s O b n 8 i Y 7 c j j j W 4 H I L w l U 1 O + H a D Q 9 Q C A N 9 8 L 4 p 2 2 S Y q W K b h V 4 O G d t E l C y 1 T A O 2 2 X F A 1 Z + Z 6 B Q h c N A N 6 8 d o d 4 p 2 2 T o t 0 L I l X e n d C k b Z I 1 a D H e O C 5 F 8 Y a j H n Z 7 a 0 h O d X Z v l u N c C g e 6 z l J M 5 b N 0 U 3 n Q b T A l B 8 U U j o q F K E N T m U H Z j A m 1 7 q A r Z g r E y T y 0 o e C H a E N T m U U b B 8 U G 3 V t T c s B L 4 Y h X i D Y 0 l X m 0 o a o b d B l O g R i Y h z a 3 D r G p T D p B t D n B o 6 Y y p 7 n k W J b C w a w Q a 1 7 + I d a c 3 K V b y i C 2 5 d 2 Q h / o 2 x J p b Y R h r H M a C N w F Z r G X N h w N U I d Y 8 Q y D W n E C l W 8 o g X u V h z U 9 j z F L m s e a I T L e U 5 a i P g m E f u s v w v R D a I M Y D t x r J U g a R I A 9 v T l E l W M o 8 3 p z g D b C U 5 Z i O g k E d i j e v 2 i H e a X u k a C m D O I + H d 9 I e i S 1 l D m 8 N g z o A b 8 F S 1 n K 8 R s N 4 D c W b 1 z g Q 7 7 R d U r K U N Q j g e H g n 7 Z K s T c v g n b Z N I i / 6 g A S C 7 H M Y O Y S j Q Q j H + V Z U Y 1 p S J V q O k 2 i w L A 5 I A e k P 4 O c w 9 t t Q x l 6 / R y y 3 L A O L 0 o H y A K e D o r 2 9 7 M s y K N o j l u + W A U X X C c p Z n A 6 K 9 v b y R s u g a I 9 Y D l 4 G F F 2 J K L 9 y O i j a 2 8 t 4 L Y O i P W J 5 g R l Q d A W j o g j p o I D 5 8 8 p 5 t 9 k n I x s 9 8 8 / s 4 P L 3 o F S 4 / N N K 0 X T V a C N p 4 M Y O 7 a + 8 B 2 c d L u g 4 H v Q 1 h P Q T N n p 2 b z N k G C J H d / X D P 8 z E 3 K 9 u 6 8 X 8 7 R 2 6 / d 8 R J d o s G o V N K V H g W M 8 R B Q 7 r B x J l k B M O G h r E W T 3 C g F F D C Q M H f 4 4 w c J w / m D A Q K u 0 J k 2 O W G s U s K W H A N c A R B g 7 8 h x M m m X N y V F O j q C Y l D M T Z O M L Q d b 2 D C R N O 6 l q O e 2 o U 9 6 S E g f t N H G H g k t P h h A k H T C 1 H R j W K j F L C w I U p j j B w a + p g w k C I 1 S F M V v U o d k o J A z e w O M L A N a z D C R N c X V o O r 2 o U X q W E g S t d H G H g X t f h h E m H B D k C q 1 E E F m z O 4 I 4 Y u z u j N + G H k g a C u T 1 p c p h W o z A t I I 1 b i 4 i 0 a N 8 B l E k H Y T m U q 1 E o F 1 D G b X i I s m j f A Z R J 1 o c c 7 N U o 2 A s o 4 z i L K I v 2 T a c M R I 2 d 5 B y y + Y H C w Y A y T o E i y q J 9 B 1 A m 2 R 9 y w F i j g D G g j O u F K I v 2 H U C Z Z I D I I W W N Q s q A M m 4 1 I s q i f Q d Q J l k g c t B Z o 6 A z o I z b 9 R B l 0 b 7 p l I H o t U O Z b I K g E D G g j O M s o i z a d w B l k g 0 C Q s U e Z U k 2 C H t + Q 5 R F + w 6 g T D J C 5 M e S G g W G w W G a 6 4 V O 0 9 G + 6 Z S B k L O T M E m 2 Q V D s G F A 2 w A a J 9 x 1 A m W S D y M 8 p N Q o v A 8 o G 2 C D x v g M o k 2 w Q E L f 2 K E u y Q d B 1 Z Z a y D 2 i D g O h 2 T 5 n 8 2 F K j M D W g b I A N E u 8 7 g D L J B g H x b 4 + y J B u E 9 Z Q g y j 6 g D Q K i 5 A 5 l s g 2 C w t 2 A s g E 2 S L z v A M o k G w T E 0 V 3 K U E Q c U D b A B o n 3 T a c M x N o d y m Q b B M X M A W U D b J B 4 3 w G U S T Y I i M V 7 l C X Z I O h x A U v Z B 7 R B Q L z e o U y 0 Q T I U d w d + 7 w E 2 S L x v M m U Z i O j 7 Z a Z A W 1 9 U y m 9 0 K k j 5 D W 7 J K B Z W t E R U M M W R v N N y d S y h M 6 i N h X u j 6 l i 4 J y y P F X q y m v r N b s k q U K w 5 f l n 2 8 C r Q b N 5 D c K v D k 2 9 h d 8 3 k i x c Z u H j h f C t q j A x c c G i p v 9 m v g p 5 Y 8 a J t B u 5 C e I C E r S g D d y H c b 6 X b S x n w j X n f A u O O J V B M Q A 0 c O h 4 g i Q v A s e B 9 K 9 j D m R w R z N A p k S V Q k j J w K P M y s 0 p M A I c D 7 1 s R r j y v y N J j 6 R N O T B k w r D w 4 E g / A B u 9 9 K w m 3 H G 3 K U L S J p Y / O h V D C L 5 D k p I J + w T c H F Y M N t q 2 U S r A h T V y 1 Q L / f + X x z v Z j N U Y G T M 1 s z q 7 0 A d W M 4 M X r W 1 S r 6 7 M U 5 I N T W a P r s L z 9 8 S 3 G x 1 Z d m 9 k Z I W 0 b J b / 2 y N l N p q 4 O 8 W Z m d o V 6 8 q e f 0 z Y L t N F v c s K W W u k E 2 W 9 O H z q D Z i O x s I P i 2 F N f I V r m i F T + e r + o b Y 6 m s v Y E D q s l H 3 5 9 / / a d R V z h q 1 J b O o v L Z V t X Y 7 c t t m Z A 5 3 o + 9 m h l 9 z x G 7 o U S + Q P c w v B I a q T C E L z C M s 2 S K z x D + u C f C w u / 5 X 7 Q S / G O 9 / t U m E H S r F v 5 Q 3 6 8 e n U L R 9 l u n m J i t R e w U 3 s K 1 t n B 5 L b a i V r S I F q 2 b x Z T K i l T H Y g t i 4 R p Y c t k r X O l K L m 7 F 1 b O K l b D i q 1 b F C 1 W J t a m 8 c l R h B S p S d M q v M + W V l s L V p I L y T 7 T i 0 8 G F l j 5 w t S S u 9 p F c 7 g h W O I o V N Y r W M e J L E o F K N p H q N N G K M 8 l V Z D o 7 5 K g p Y r 0 3 O 5 w h g o v U 7 j d N U R f P w c B + p 7 3 v s u C 7 C f t d 5 n 2 X B 9 8 V 7 H c T 7 7 s y + G 7 K f p d 7 3 1 X B d 8 0 5 h C + N 4 i Y N C b / k p 6 b 0 v w z n R v G T M / W / D G d H 8 d N T + V + G 8 6 P 4 C e q n 4 C I h H Y v 7 G i O U F X c g S c g 0 k T L N f u m L m Q 7 n U k / Y L 3 1 B 0 + F c 6 o L 9 0 h c 1 H c 6 l n r J f + s K m w x n K + B n y p S 0 L Z y j j Z 8 i X t i y c o Y y f I V / a s n C G M n 6 G f G n L w h n K + B n q p S 3 t V b M D J Z z N i T u U J G + T c D Y n m v 3 S l 7 c J 0 W s T 9 k t f 3 i b h b E 4 K 9 k t f 3 i b h b E 6 m 7 J e + v E 3 C G c r 5 G f L l L Q 9 n K O d n y J e 3 P J y h n J 8 h X 9 7 y c I Z y f o Z 8 e c v D G c r 5 G W r l r b E a h A z 5 c l L 8 l D z 4 k b z t Q q r 2 e H b 2 M I l n J C F 7 m I A r L b l 6 m I 8 g k i E 9 f J Q V z X a + I y L d f m n z j X v G w b g f h 7 x V C C c J 6 I E i l P J C M w N q b k B f P R S h 8 B c T Z s C M G 9 D X G g W x h w p m w A k 3 o K 9 M i n C p F F N m w J w b 0 N c x R c i U k m N K w Q 3 o q 5 4 y Z E r J M a X k B v Q 1 U h k y p e S Y M u U G 9 B V V G T K l 5 J h S c Q P 6 + q s M m V J y T F F j b s S 2 p R 8 y Z M u U X S v 8 Y v F X y z R k z J R j j G K X i / L X y z R k z Z R j j W I X j P J X z D R k z p R j j m K X j P L X z J Q c L l j 2 s I t m 3 z I k q b K D Q c j N a t w P h z Q f T m / s H H t C X l a a G V B z A / q c r E J O V h N m w I w b 0 O d j F f K x K p g B J 9 y A P h e r k I v V l B k w 5 w Y M j o 7 0 7 M h x p e B G D M 6 U Y 3 K o H H N 8 K b k h g 8 P m m J w 2 x x x n p t y Q w S l 0 T I 6 h Y 4 4 3 F T d k c D w d k / P p m O O O G n N j B i q w z X n r D a r Y Z c O v m 8 A f Q s / 9 i m O R Y t d O o A Y V d Q k o j k m K X T + B I l T U W 6 A 4 N i l 2 D Q W q U F F H g m I Z x a 6 j T k 0 O d D A Q D 4 P S 4 3 4 k a A E y C b j 6 V t H 5 R R w T S m s G o J Y B 7 t K n Q q C B M L Q u D A 9 o z g D N o k A L D m g g L M S p o f S U A T q J A q 0 4 o I E w t e 4 P F 2 i m G K B 5 D G i m O a B 5 A J S s t W z C A C 2 i Q H M O a K D Y W 9 e J B 7 R k g J Z R o F M O a O h n J M t l w i 2 X a Q z o R H F A g 8 2 h d a V 4 Q D M G a B U F O u G A B t s H c a 6 o S c E A V e M o 1 J K D G m 4 w r S P G A 1 t x Y C M K a Z f x E o M N t B J x z q i c 0 0 o q q p Z y V i 2 F m 1 R O 9 F L O 6 S U V V U w 5 q 5 j C b Y w 4 d 1 T O a S Y V V U 0 5 q 5 r C j a 4 g u q n g d J O K K q e C V U 7 d t 0 O 9 n 4 r 4 G l T n b E D 5 F o U c O 3 2 r u B k S X 4 T q n B E o W 6 K Y / K k o O a C B 0 B V k i R U V A z S L A e 0 8 E x F X r S I u C F V q B u g k C j T j g A Y C V 5 L l V e Y M 0 D w K t O C A B p s h 8 T y o z v W A 0 g T K Q C s O a L A Z T s n S m i o G a B k D O t U c 0 G A z J K 4 G N e W W y z Q K N O e A B p v h l G z 7 0 5 I B W k W B T j m g w W Z I n A W q G j N A 1 T g G t V I c 1 H A z r M j G X 2 U c 2 I h C 2 i W 1 w 2 A D r U T 8 B K r i t J K K q q W K V U v h Z l g R v V R x e k n F F J M e s 4 o p 2 A w 1 c R D o M a e Z V E w 1 t R n h M N g g 4 j k O d V O b 6 g 2 C j S k n P W a V k w r C p c Q r 0 K Z b c 3 u Q m H M g l p q c 1 / V O D N J z M r m j k X j z b p p x v i Q 5 R d I T k i K 5 K J F A 9 u 6 Y j 7 M d y Q m O n p j S y E U r X C B t 4 i I u V 5 G c n u i J C Y k c t M B V A 8 2 g N R H R Q q 0 D 0 w m 5 a J E F t j v z 4 z x B c m q g J y Y D c t E i C 3 D n F c B Z f u T E P k 9 M 5 e N e + g g N C J 0 p B q 1 S R A u 1 D k z E 4 6 J F l E P G K Y e p i B Z q H Z h G x 0 U r N E J 0 V j J o V S J a q H V g E h w X L a K 6 d 9 4 J J r t N J K H N E 1 P Y O I g R D 4 a e Z B x i E S X / F C 2 / y 0 D j I k Y 0 / Y T T 9 E p W 9 b B 5 Y A I Z F z G i 6 y e c r l e y s o f N A / O / u H e 8 i L b P O W 2 v Z H U P m w e m b 3 E R I / o + 5 / S 9 k h U + b B 6 Y f c V F j G j 8 n N P 4 S l b 5 s H l g 8 h Q H M e K P 0 Q W n 8 5 W s 9 G H z w N w n L m J E 6 x e s S S i r f d g 8 M H W J i x j R + w W n 9 5 W s + G H z w M w j L m J E 8 5 e c 5 t e y 5 o f N A x O H u B c 7 i e Y v O c 2 v Z c 0 P m w f m / X A R I 5 q / Z G 3 8 i J H / N M 1 f B p q / J J q / 5 D S / l j U / b B 6 Y d c N B j F x W 0 V N O 8 2 t Z 8 8 P m g U k z X M S I 5 p 9 y m l / L m h 8 2 D 8 x 5 4 S J G r z V z m l / L m h 8 2 D 0 x Z 4 V 6 a J p q / 4 j S / l j U / b B 6 Y c c J F j G j + i t P 8 W t b 8 s H l g w g g X M a L 5 K 0 7 z a 1 n z w + a B + R 5 c x O g F e E 7 z Z 7 L m h 8 0 D 0 z U c m i v A u Y I + D n e M 9 h m / 2 y N c 7 + 1 j f b d H y K 3 2 S X 7 k F b 4 7 Q K i E 2 6 f 2 7 u u B c A l l g R u 1 f U P v 9 8 h k J I L 3 P o r Q G X j z 2 h f w f o / g q Q L x G W U 7 y 0 N 8 z e 4 M o A m d O q B T E z p 1 O A Y h Z K d o x S f n 7 g C E T h 3 Q q Q m d g Y c j I x 6 O L F M y E g 2 O 3 n P o + A t o 9 8 0 z e e b M v W w O H j O D t 8 v + c 2 X / h T J + l G y f I b M v j 4 9 e f D / q M G 8 m o X 1 8 7 D + m a 9 4 M 8 4 / p 3 C f F f a 6 T 7 h 2 w 8 M r O f S j s f 0 l f 9 L 2 U X / S 9 F F 7 0 9 a 9 8 f 1 o t b u 3 T x / a p / f 7 J b / + S 1 3 n x a 7 u t + y e / 6 H 3 w s U 0 b Y + b z Z n b b i J j R h 8 v 5 r Z 3 9 5 c P 9 T l C + s 8 7 3 x 6 7 F / v R y d W 9 f / c 8 W i + a Z p n 3 r 2 b x O X d S 3 M 1 s b 4 d E K l F W L d 6 u l H c x 5 6 9 g + 5 W 2 l c v 9 4 0 7 7 c b M q t 1 L / M F / / z 3 4 2 s B k I c D v N z v b g L 3 o d + s Z v G S z r x l / L E X 6 Y / p d z / c B H + c B b + c C l l i N n Q p 5 5 J R c r 3 o B I L N f b T 2 D 8 / 8 X 7 e v x v p + T x b B s 9 1 b d N / N C B G 2 3 X d P N R Y b M h 7 l p 9 W 6 / b j r d k V u 1 e 1 a 4 M j 6 W o H e 5 h v 7 5 q 8 D 3 P L 9 T + R P q + 6 A Z T Q p k n b y 0 a u r m q j O 2 Z b C 2 V 0 c n L i Z L 3 A 7 3 D 2 R L u z A U j 2 H t l I B H s d I b l e D 4 9 Y p k U H L X F C w Z O g 4 D V N 2 8 D f O d 9 9 e E G u Y e 4 a 0 K W U H l i i 8 D f w B d n n U E p c L k P K m r p P u J 2 3 9 Z v d b p l c L e q Q W k t B e S V Y U S l a R M m v m w R L J U W r I / k F k W A N p G j Z I 7 / S E S x u F K 1 n 5 J c w g l W L o o W K / N p E s B x R t A K R X 3 Q I 1 h m K l h b y q w n B A k L R m k G 7 0 0 x i s Z 8 g v V y Y U c 5 N I u f l j R u U K o 5 m h 3 t K Z j Q p U 1 F a b q L D s h G l J S A S c g 4 d d V b p z q R t / + 5 M 4 H P D 0 N F f 3 t m U P j e O I f f d r L H F o l a c V U i 9 E R c z / 4 7 f v 3 + K d X a + 7 3 T k J J b 5 u Z k X a w I + z h q a H e z e L W b X 9 U + z x U P 9 L E L S 8 d H F z P z f 3 4 + O d 1 + t 9 5 / / W P 9 9 a w x R B z Y L W r G w C Z L H R 9 9 Z z h 0 N g i d R o H i u U D Q t H x J N X b f b 1 f w t 6 S J w Q h / E C h X n R R Q n F q U s m U M 6 z q J 0 N C R 6 d T r j s o Z x s c N H 0 3 4 C W w V m T Q 5 i l k 5 Z O D w 6 L D Z 5 M p 8 m K U v p A A y K Z A x y O w d 2 b P P f 4 9 0 / Q k y a b w 0 q 8 G A Y J M k a b d 4 t 5 o 1 y N / u B N c T m V n s b W + / O V W 6 X t l M r K g C n Q j i F N l 8 a y 7 E d w s 7 R l 7 8 Z b T O / n 5 s f n 1 k i R v / + s N r W l 9 v f D J y v N o + f N v n 3 w G A n i g N z o h 2 q / G x e j q J q 3 D a / m K N K S 4 f t 1 7 k C x F m w y 4 B F y M / 2 x m D n d k t b p x m / T k M C R f R s 8 q y T z g U w s k m j 7 H / 3 C k R a o + V B a 9 R o j a P e 4 y C p 1 Q h i S d M 0 S V d n J T 9 R u p u o Z k E N m q X p Q b M 0 c V Z x Z I o 4 l F i M q m R d Y m z p 8 f H y Y b F g N Y i Q v T A l X 2 F K h s K U n I Q p W Q i l v I N S p k E + t 2 C a C O b p I l g 1 I i j N a e v K 6 J w C q X k h j z q H 3 v 6 3 1 P y Q 4 Z f 6 K D V P 5 J H j J S R Q Y 7 w i 3 / Z w W R 6 e O Z k T y Q y x 3 H W / 6 r w h s Z y S 3 l e O X 0 Q y P 3 l z X J a e q E k T u n E F H H g b G K A b t W R 4 w K J F P e B s Y G N M 7 y k g 6 x d 4 s / r V 4 b J A M 2 9 k R 7 B M m n j O W S 4 g x N u 2 A P c k J s S R E E k d Y P P b k N 5 7 G e i e O f 1 i E u a C t 6 w j G C c x J y V G R F B K N 7 V t N D O F P S l o i O Q K x h 5 A f 8 8 g M V D T s M j V X K 3 G C 6 I 3 l 3 0 u q Z v 5 4 0 n f y w v p X D w w v b w 4 z 5 n 7 G L P t J 3 D h M O P S R t q j F s s / Q 7 g p k f E D z F d d 7 h g / g D z D 3 h P L D K f Z A l l 6 f E 4 j 3 s h A Z K g B s Q U j K s J g M P B q f j x Z r t s O T C D v m / 4 v v 5 s b y u r + L Q n n Y T a 9 m s S 1 1 j c e x j 0 y P C 7 p 1 r y 9 K x F T V 4 P h Z + N 0 + F V 0 c a Z H j g S M 0 v 2 e 9 m 5 I T F 1 8 D A Z + I F 0 2 4 B y U t U 4 L d u 4 v f e s + w o m L 4 K f d R w x 7 L v w z A M + s s 3 D z H M C 8 1 / R X h 5 R B T H 3 N N j p 0 p v H 8 N f 3 V m Y R U 5 f 0 a y o i w X g 9 0 z C e c j L g Y t Y B M u k s + S / D J x x E Q S S w G L J n A G 0 + j 8 q 8 C F J K v S X n 8 C e 5 J R d C n V 6 b s J n 0 M 7 0 n 1 I a a E O I 8 c W I i 7 N S P + P O p p Q T 4 U 5 B 3 B f g / s 0 e B 8 F p x X g v c 7 k A M x O Y Q B k x / Y 9 8 C Y h 5 a 7 Z D t K x q B k 2 / k W m m t 9 D L 1 S 4 v o J Q u X v a n h f i W O 1 L G p Y r D M 5 H U j X 4 M e 7 B / + 0 d w + O P 9 7 x + y P f 8 f t 4 6 + w P e + t M L r M Z K 6 w p l d I U i 2 f + a 9 x 2 E y x f 3 i 0 d t Q + j h v j v v 8 s J h K X f 3 s g S r m / 8 n 5 K S 7 p u 2 q S v S n C 0 f w i p I P M + U A 8 4 z O z / 2 E + y U 1 7 j X t 8 / F 0 + i B j u c y 4 Z 7 Y 7 2 X 1 C N T w n k p A e P y K 2 e 9 P Q f f w Z m N n 2 7 B v V b t X P L 9 a 3 V / N l 5 L c T O 2 h M 9 i q X w v b 5 2 t h S 3 s t b D O u 4 u 7 / q N w / 7 F t B 5 y 8 b / t 7 h v 9 4 T E r v v 9 N 1 q W X / a D W K r q 8 k z p Y S p w l N r Z g t a M t A 0 g b Y G N B 6 g N Q C 3 d 7 h v g o 2 Q / F a B 3 5 o p J z 8 + Y e b b s T a R a d d D p 9 0 6 O O P G Y t Q S j J p 5 U R s u a q B F r a + o i R O x X 8 T 2 K t L e 8 F v s 8 A T e 0 3 G P e E 3 L x 2 E Y i T E w z f 8 k d e u s + m 5 J b P C M p u 7 A 0 w E 7 8 O 4 2 0 q C n F G e S 7 S l c 9 + W j S B F y E o 2 c i D E s A q n S 5 8 z m 3 b K X C A 8 4 X b 4 i P x 8 d X j X 6 6 K X t M a q 3 1 7 t o f J r v 5 H v U e L S v A Z 3 u g H u e E L 8 T h O H A g E B y e P F / 9 2 i Y 7 G d X g p 8 d z N E f y r f + 0 Q + e 5 g d P W F n H / 9 I O 8 M g S D Y / b s S X r H s e l 5 e s d 1 U U 3 z x M d 7 / y h 9 P h D e N Y d v c / q 8 + O P T v K P T v I U J z k w S f q D b 5 J V G r M I u 6 3 x h / n b Z i v c 2 K x F N t l G / 7 L I / B L 3 Q b Y X R n x Z f W 2 3 0 J P z e n P d C r R k c v B 3 h g h m M S N j s D Q N 4 U p L Q k f A f J P w 0 h Q Q e z w a H 4 8 a K k a Y j N H 7 g / d E A c V R 9 G q W R 5 A Z 3 h 7 M j s x / C J r N E W l 0 6 B n J f y L l 2 J v M G z B M S / N u V b R 0 3 F d d n 8 y X D P R / + + S T z Z u Z 0 R m j b y 8 M J o t 6 + / 8 0 P W 1 O I f P 3 V 5 v H k / P V 9 c O 9 L W / 7 9 b z x M S y b P f T Z 0 a l N C b Q 5 3 b 6 t r 6 5 q d f r t / G o 9 W / 9 2 + t X C 7 E e X 2 9 V 6 d l u f v l 7 W 5 + v 5 Y / 3 Z 1 0 Y r r a 0 V a C h 4 X t v j w q a + 3 O 9 t t 3 P z w 7 J e 7 n + w Y n + 5 P f n m 4 a p e b x 8 2 p 8 9 N 4 9 o s 5 M 9 G L 3 4 0 4 H + d 3 9 3 V N l n R 6 Y u l U R C m + 2 O z h Z z q s c 5 P r z e P r U A b 7 i x P 9 2 a q + e e 3 F 7 b 9 x L S b o / T o P 7 s j u C G z 4 f X O 4 j V / l p P p 8 e j P y + t V k 8 L o 8 1 G R j 8 f q r 5 8 e / z + 7 S f y m n l k C m i f b h i l m T T V b 8 W M 9 e + j Z + f 1 6 d W 9 O 9 b u + z + y E G q i 7 X 8 8 W i 8 v r 2 c J w 6 v P t + q F 2 x v Y Z F J U O C R U j o + / D P f X F c l t M T u z X z d H K 1 1 q N y N j t d T u / b 9 u D L Z d 2 C L I 6 B c M 7 h w T / L e L Z w h x L 6 3 r 5 B W n 5 q X n r 4 t Q b 5 r r Y y y w L Y w v u D r F M l 1 l v r K f 1 M s p v O 5 s v N k L v j T H i a X O 7 9 Y 1 E z G k f H t y X u 9 L L 8 o h d r 7 3 R n N A l A e b e n k 7 o k j B a b 4 c n d e J H f N V l D p S n G X W T R n U O B u L A l 7 u T K G 1 x T H O m c X d E o K 2 d / U + b 9 k c I E V 5 r j y N 5 p X f V / R 7 0 t O 6 3 / 9 n W L V / M b t b 1 h r Q Z u 0 B q P j y 3 B V o x s d w M / j f n q 7 r x g C 1 n s 8 0 2 O B w 0 v 6 9 u G 2 z 2 p o 1 1 Q X 1 B l V c k u 0 A A c 2 4 r z J v B a 9 f M b I e / r e 3 2 b E y F k Z X I V X M s 2 t N y 0 1 y X 3 I h S x 7 x e B 7 x s 6 L w 2 9 q m R m 1 m T q S / A s r u i u b P T O 6 h 8 1 8 e d 2 u N 7 g C L x A u Q 9 H Y m 9 g z M 7 0 6 + Z F J Y 5 N N U g b e e f l M G + 5 H Q d C E 8 s J S E d F O U n p I O e R e g Q U h f S v o M Q v I x A F h 7 l 0 b 5 D I L + I 0 O y / G y N T 9 m L A l P i P y 8 B Q w / A + k w e j D w x o l l r 8 W d J N / + D T f V p S a o t 1 + U m 5 y e 2 W W V v f i R / 7 / 2 / v W 3 f c u p F 1 / w e Y d x D 6 / H G w O 2 2 R 6 5 5 B z q A T T x w 7 F 2 e n Z z L A T g a B b C u O 4 n Z 3 j q T u m W w j D 7 S f Y 7 / Y W R d J i 2 R 9 X 5 F L 7 c w l 8 A C T p L V I V h V Z L H 5 k k V X f y a g T b v z i t P a t 0 n 6 m t Z + n t Z 8 p 7 R d a + 2 V a + 7 n S f q W 1 X 6 e 1 X y j t N 1 r 7 f f z g B A K l N s D q C J v E I a 4 0 C u o Y m 8 R B r j U K 6 i i b x G F u N A r q O J v E g e 7 H C 9 u z 4 P F Q k t 1 I f Y t D h T o o V 7 c D F J M b K 9 f j K d b D G p U C V i 5 B Q b M f N l M p Y O U S F D Q L Y g u V A l Y u Q U G z I b Z S K W D l E h Q 0 K 2 L V k c 4 S R 1 o z I 5 k 6 0 l n i S G t m J F N H O k s c a c 2 M Z O p I Z 4 k j r Z m R T B 3 p L H G k m R l J y 1 W M K y Y + y K O C q e t U j h U M Z j Z m F H J 1 n c q x g s E 0 x p S C j k W w g s G c x Z S C u k 7 l W M F g g m J K Q V 2 n c q x g M B s x p a C O d J E 4 0 p o p K d S R L h J H W j M l h T r S R e J I a 6 a k U E e 6 S B x p z Z Q U 6 k g X i S O N T A m O e E D 2 6 Y 7 D E h x f Q F + u X y 7 q 2 P W L p 3 t 5 J Z m I y 9 e v o P h / W U H h D P Y L T v X l B c P S d + j q a r N d 3 z z b L m / W O r G + 9 P P V e t U l e E g o u l 2 8 e n q 9 X H c H g O 1 Q J F Q A H u v o w L o O 4 f R h 5 b W i j m 1 l S F O K W a 3 Y N P 9 3 d D A 5 I W 8 o Y + X C c e T F h x A D 2 p m f e / a A 6 s p g C i G 2 6 C M Q q C T k J a C Q k h q P Q R B 8 9 D h G 8 I b L B I M 4 S B L n E R I e Y h J E S A g I S e a Y 0 6 T 0 s B F 0 X V H X 9 x K s 7 z 1 N k W P b R 7 m B s k X R X q l i g B J g A M m F T e J C Q 4 S l i h N K g B M k F 3 L X g r j Q U G O p n 2 E B L C G 5 y J O 4 0 J B l q e K N E u A N y Y X c X y E u N P R Z q t p Z J W l n m c S F h l A r V T u r J O 2 U O 0 H E h Y Z i K 1 U 7 q y T t r J O 4 0 J B u p W p n l a S d 8 n Q C c a G h 4 U r V z i p J O 8 f T V N 1 s A c g 8 8 q H q Z 5 1 m P R P N p 2 Y / a 1 V D 6 y Q N N W k G 1 G g W t F Z 1 t E 7 S U Z N m Q o 1 m Q 2 t V S + s k L T V p R t R o V r T W / Q V p e p p m R g 2 w o x q a S g A X U + N J 0 V 5 Q Z 0 m D Z k l H O o o x P L Q Z x R i N O k c a N E c E F 2 i K S C 6 0 G d K o M 6 R B M 0 R w g S a I 5 E K b H 4 0 6 P x o 0 P w Q X a H p I L r T Z 0 a i z o 0 G z Q 3 C B J o f k Q n W 5 R X x u S e q J Q I Z k Q 3 X M z X X P 3 D x J Q R H M k H y o 7 r u 5 7 r + b J 6 k o A h q S D 9 X J N 9 e 9 f P M k J U V Q Q / K h u g L n u i 9 w n q S m E G w A + 6 W B D T P X N R W 5 h w E n U s 0 g J 7 K Y 4 0 P W V R V 5 k Q E j r B T A G 5 Q R X V e R s x k w I h u B j M h i D i O 6 s i K f N G C E s Q s Q B 2 V E 1 1 b k u g a M S G k g I 6 g Y O F V J O c e 4 s 3 P b 6 J M D u b d 7 q v G T j L 5 Q d z f t 5 X b W P + e 4 X n 7 f s k n a m 3 D X x k b u Y k D Y L l K H T 2 C 5 b R P p u m R b Q z A G e N k 9 t p l W x M 9 J O N s Q s U / y 6 x u r z w z k d 5 d s w z 0 B Z 1 v q J G J b w 0 g G e O t d t j N k z g X b c A t B 2 U b u e 8 C 2 B q p M p l t m 5 L + X b L N R J 2 w z x Z M g j F l P 4 P T 3 u J Y q B L j m h S D X T O 8 k Z K N c 6 6 Y P u e M l 1 1 z 9 E d f A P Y + 4 l o 2 O X A M f v s c 1 s 1 Q Y 3 6 V x z b R O w k H K t b 7 Q I 6 c + W G b 4 i E C 2 m U Y B 8 E j 5 l k P h 8 c 0 7 M o Y d O d / o d g D i W 4 O a + u 0 A g 6 4 H A L 5 5 K c h 3 2 i K p I l N w q 8 D j O 2 m R h M h U 4 T t t l V S B r H 7 P w K C L B o B v b t 0 h 3 2 n L p I p 7 g a f K u x O a t E x S Q I v 5 x n 4 p y T d s 9 b j b W 1 O i q d O 1 W f d z G e z o O k + B y u f p U H n S b T C j O 8 U M 9 o q F L E O o T F h u 2 4 R W d 9 I V M w P 8 Z B 7 b U P F D t i F U p m x j p 9 i k e 2 t G d 3 g Z 7 P E K 2 Y Z Q m b M N T d 2 k y 3 A G + M A 8 t t k 8 x F B Z F I J s M 8 W T U J l Z L t 2 X Z b A z K + S a 6 z / k m u l d O l I G v i 3 v h j y 0 t y H X b I Z h r r E b C 9 4 E p F z r l g 8 7 q E K u + Y B A r p l C p S N l 4 K / y u O b d G E P K n G s m Z D p S 1 r 0 + B r p 9 5 C r D S y G 2 g Y 8 H L j U a U g a e I I 9 v Z q g S k D L n m y n e B K S s + 3 Q M d O p I v r l p h 3 y n r Z E q U g Z + H o / v p D U S I 2 X G t 4 V O H c C 3 g p S t 7 q + x 0 F 8 j + e Y W B / K d t k p q S N k C B 4 7 H d 9 I q S T E t 4 T t t m U S n 6 B N i B 9 L n M L o L x w I X j l N X N W N W M y V W 9 5 N Y M C 2 O i P 7 o N + B H L / a / o V i 9 f o l Y V F l C S 8 q B I g C n k 5 K l v b j L O i l Z I h b p l p C S 8 w R F K 0 4 n J U t 7 E a N 1 U r J E L P o u I S V n I o q s n E 5 K l v Z i X e u k Z I l Y R G B C S s 5 g l A 4 h n R S A P 5 8 7 7 z b H O G S z e / 6 e H V z + n h Q F l z + t V K G r R Q t J T z e 2 a f / c e 3 B 2 4 A V t x 4 O y r S B j h 8 3 u v e o i Z L R C z l 4 u b / 6 7 7 Z h X 1 y + W l 6 s f X 6 L b / w e h V M x i k d t U C g W 2 9 U w o s F k / U q i W O W W j Y Y G f 1 R M M g B o p G N j 4 M 8 H A d v 5 o w Y C r d B R M 9 1 l a 5 L O U g o G j A S Y Y 2 P A f L 5 g G 5 3 S v p k V e T S k Y 8 L M x w d B 1 v a M F U 3 b q V v d 7 W u T 3 l I K B + 0 1 M M H D J 6 X j B l A 2 m 1 T 2 j F n l G p W D g w h Q T D N y a O l o w 4 G J 1 B N N N P f K d S s H A D S w m G L i G d b x g y l G X 1 d 2 r F r l X p W D g S h c T D N z r O l 4 w b Z O g e 2 A t 8 s C C x R n c E a O r M 3 o T f q x o w J k 7 i q a 7 a S 1 y 0 w L R 2 F x E o k X L T p B M 2 w j r r l y L X L l A M r b g I c m i Z S d I p q E P 3 d l r k b M X S M Z G F k k W L Z s u G f A a O 8 E 5 d P i B 3 M F A M m Z A k W T R s h M k 0 / C H 7 j C 2 y G E M J G O l k G T R s h M k 0 w C I 7 l K 2 y K U M J G O z E U k W L T t B M g 2 B 6 E 5 n i 5 z O Q D K 2 6 i H J o m X T J Q P e a 0 c y H Y I g F z G Q j I 0 s k i x a d o J k G g Y B r m J P s i Q M Q v d v S L J o 2 Q m S a S B E f y x p k W M Y b K Z Z K b S b j p Z N l w y 4 n J 2 A S T o G Q b 5 j I N k E D B I v O 0 E y D Y P o z y k t c i 8 D y S Z g k H j Z C Z J p G A T 4 r T 3 J k j A I u q 5 M J X u D G A R 4 t 0 f J 9 M e W F r m p g W Q T M E i 8 7 A T J N A w C / N + e Z E k Y h J 6 U I M n e I A Y B X n J H M h 2 D I H c 3 k G w C B o m X n S C Z h k G A H 9 2 V D H n E g W Q T M E i 8 b L p k w N f u S K Z j E O Q z B 5 J N w C D x s h M k 0 z A I 8 M V 7 k i V h E P S 4 g E r 2 B j E I 8 N c 7 k q k Y J E N + d 3 D u P Q G D x M s m S 5 Y B j 7 6 f Y Q p 8 G / N J + R + d 5 F H + B z d b F K U V z Q 4 V d H E k 7 r S e G E s p D N J i 4 d I o M R Y u C T N j h S d Z f e Z m N 1 s V S N M c v y x 7 f P 5 n G v c Q 3 O r w 9 F t Z X T P 9 4 k U G L l 4 4 d V W L k Y E L D o P 0 z / e z Y B R W v W i b g b s Q H i F l K c r A X Q i 3 r n Z 7 K Q N n Y 1 5 d A O 6 o g G o A a n C g 4 x H S R g E c L H h 1 F T y c 6 R 7 B D O 0 S q Y C a l o F N m R e Z V R s E s D n w 6 q p 0 9 X 5 F S I / K p + y Y M g C s P D r a G I A F 3 q u r K b f u b c q Q t 4 n K J / t C y d 4 X a H J S L r + g z l F 5 Y I N l K y U J b C g T S x T o l / t y v b p d P P t Z / P 7 h Y r P a v L z e D B l l h l 6 U s n 3 a w o Y u y 9 P Y 0 c + d h K W i c N / a I c B a P x z 7 B B m H d E S 0 3 u F B 8 8 R 6 z g u P i T U J p 0 6 + o 6 n M p l S l / K Z U J i x 3 S Z e m 8 q r W o U y q t f p E c 6 v n N x 0 W d L N G j b V p z L z U F v h r 9 d Q W t G c 8 u z a 8 E K u 4 i B O q E x c Q w Q x p y c + V K 0 q H I k G m F 1 z M B X A / t f / X O X R B a E L x A 7 Z M K L t H r K l c e M B 8 2 5 t r W W F n x n d G 6 9 5 P b a f + 9 3 K 3 / e h T J j 1 d / t D i e W C i z 7 v E g M N V z + d t u d m 9 Q 1 a 2 9 x 4 9 A O W 7 d H T v / f m r z 6 T V 7 f L M L b q 7 b 0 P C u M C m L t t F o 8 u D 9 M N 1 i 4 G X l z 8 s V / J 1 V l d o c f m c J p U 7 N L L Z t m X k W t F C 7 s 7 u I / p d y s F Z l 8 1 P 5 j Z 6 e L 1 8 3 u 7 J 1 l 7 D g d R y 7 X j w 8 f u z Q 4 q 8 9 v e N b H i X P W i 3 / x g m 2 Q r v O 7 z c Q G P J G Q X O k R r o v p m X K i i V h l I D 0 z h P l v g c 8 Y 9 L I i 7 8 k r + M i R A / 3 S d a v V 2 u / 9 Z F S n U z s 3 6 1 f H V 9 u x x z l H e V n a y J X b 5 1 J 8 M g T i q I 8 w j S 1 I H R b I E y Q S D J C R h J A 0 g z / + F k f 3 p + P 5 z S T 8 / i x x L 3 x X L 1 8 f R 8 8 Y x 8 a h I + L + 9 e m G p P Z N f z E + p 5 O f R w 2 r w g z 5 1 M b X d 0 R r k 3 n B a O J X n T 8 7 r B V G 6 x 7 G 3 R h G 0 8 9 x p I 2 R V J w x V N r Z W c L u u w 4 e r + e 9 x f O U 0 E L 0 b c O n 3 2 K u 8 k l d a z X r 0 s q J f T e p l X r w j q l b R e 7 t W r g n o 1 r V d 4 9 Z q g X n / g w n N A u d G R w p q 8 a y q / Z t g 3 h n d O 7 d c M e 8 f w 7 m n 8 m m H / G N 5 B Y x c 8 T o g 7 5 T 4 7 C 3 X F b U h T M i u 0 z N K a v p r Z s C 9 t T m v 6 i m b D v r Q l r e m r m g 3 7 0 t a 0 p q 9 s N u y h j P e Q r 2 1 Z 2 E M Z 7 y F f 2 7 K w h z L e Q 7 6 2 Z W E P Z b y H f G 3 L w h 7 K e A + N 2 p Y W v s G h E v Z m 7 j a l 6 V s e 9 m Z u a U 1 f 3 3 J h 1 3 J a 0 9 e 3 P O z N v K Q 1 f X 3 L w 9 7 M a 1 r T 1 7 c 8 7 K G C 9 5 C v b 0 X Y Q w X v I V / f i r C H C t 5 D v r 4 V Y Q 8 V v I d 8 f S v C H i p 4 D w 3 6 1 q M G J R W I n v 0 j J e F H J E G F k p M i n o Y i j F Y c y T w R R h p M y y I R B l 6 J p I I I X 5 9 G 0 z r s h E j H L 0 N i B Q 8 c z M d 2 x K O s s J O A H S h D L S 8 t a d C y B n 3 z U I b K X + a k w Y w 1 6 F u N U u C h k j S Y s w Z 9 Y 1 K G U 6 W s S Y M F a 9 C 3 M W U 4 K B U b l J I 1 6 J u e K h y U i g 1 K x R r 0 L V I V D k r F B q V m D f q G q g o H p W K D 0 r A G f f t V h Y N S s U E x c 9 b i 8 G V s M h y W m s 4 V P l n 8 2 V K H A 1 O z g T F 0 u h h / v t T h 0 N R s a A y d M M a f M X U 4 O D U b H E O n j P H n T C 0 2 F 3 R 4 6 K T Z f 5 k S P d 7 h I B z N Z j 4 2 h y w f j u P u b H v C s W w s a d C y B v 2 R b M K R b H L S Y M Y a 9 M e x C c e x K U m D O W v Q H 8 U m H M W m J g 0 W r M F g 6 y j 3 j m x U S t Z i s K e c i 0 3 l n I 1 L x Z o M N p t z s d u c s 5 G p W Z P B L n Q u t q F z N j Y N a z L Y n s 7 F / n T O R s f M W Z u B C R y C e 3 u N G j p t + L w J z k P k v t + w I T J 0 7 g R m 0 M g j A c M G y d D 5 E x h C I 0 8 L D B s m Q + d Q Y A q N P E g w d K D o P D q Y y Y k H D O K E w d j 5 2 B J E g C T S 4 P h V P f w S B x P G W k L Q 6 g R 3 c a I h 0 U A Z h i M M j 2 h B i G Z R o i U j G i i L O N Q w t i Z E 8 y j R h h E N l G k 4 / n C J Z o Y Q L W J E M 8 u I F g F R M d e y n B A t o 0 Q L R j Q w 7 M P R i U e 0 I k S r K N G a E Q 3 P G c V 0 y d l 0 q W N E c 8 O I B o v D c J T i E c 0 I 0 S Z K N G d E g + V D H K 6 Y v C R E z T x K t W J U w w V m O I j x y D a M b M Q g 7 U L 7 Y r K B V R K H M 6 Z g V s l E z V J B z V K 4 S B X C L h X M L p m o Y S q o Y Q q X M X G 4 Y w p m m U z U N B X U N I U L X S l s U 8 l s k 4 k a p 5 I a p 0 P d q a e f R p w 1 m M N h A w o s q w Q T G 7 + q i 6 E 4 i z C H w w g U F l a N c l d W j G i g d K W Y Y m V D i G Y x o o e T i c h R r R F H E K a y h G g e J Z o x o o H C V W J 6 V Q U h W k S J l o x o s B i K k w d z O H p A 8 V B 1 o g 0 j G i y G t Z h a t S F E q x j R 2 j K i w W I o j h p M z a Z L H S V a M K L B Y l i L Z b + u C N E m S r R m R I P F U B w W m G Z O i J p 5 j G p j G N V w M W z E w t 9 k j G z E I O 2 i d 2 K y g V U S 5 w S m Y V b J R M 1 S Q 8 1 S u B g 2 w i 4 1 z C 6 Z m G G y c 2 q Y g s X Q i g M C O 2 e W y c R M 0 x D 6 E p M N P J 7 z 0 D Y N M S 0 h 2 Z h x s n N q n E z g L h W n A k N c S b e E 8 D k H a m n F f t 3 u 1 C A 9 + J z b m v A 3 7 7 o Z B 4 b T Y 8 H d I f q b y 5 J w Z O + 2 + T i s m x 7 J 7 Y 6 x 2 1 y 2 w g k y R G h j Q d n 0 O G x 3 j L z m s A W u G l j C V q 6 y h b 5 O j J v m s i U m 2 G 7 P j w O i 6 T H Q 7 h j 1 z G V L T M D d q Q A O Z 6 Z H M L t j z D L 3 0 k c I I G x m C F u V y h b 6 O j H i m M u W M A 4 Z M w 6 1 y h b 6 O j F e m M t W C E J s V h G 2 G p U t 9 H V i t C + X L W G 6 d 6 c T J I x X J H L X H W N 1 O Y y J E w y b Z 4 y x i J G / i 5 X f h d p y G R O W P m e W 3 u i m H n 6 e G C n L Z U z Y + p z Z e q M b e / h 5 Y q A r 9 4 6 X s P Y F s / Z G N / f w 8 8 Q 4 V S 5 j w t 4 X z N 4 b 3 e D D z x P D T L m M C Y t f M I t v d J M P P 0 + M E u U w J s 5 j b M l s v t G N P v w 8 M c i T y 5 i w + i W F h L r Z h 5 8 n x m h y G R N 2 v 2 R 2 3 + i G H 3 6 e G G L J Z U x Y / o p Z f q t b f v h 5 Y o Q k 9 2 K n s P w V s / x W t / z w 8 8 Q A R y 5 j w v J X F O N H Q P 7 d L H 8 V W P 5 K W P 6 K W X 6 r W 3 7 4 e W J 4 I Y c x c V n F 1 s z y W 9 3 y w 8 8 T o w O 5 j A n L X z P L b 3 X L D z 9 P D O 7 j M i a v N T P L b 3 X L D z 9 P j M 3 j X p o W l r 9 h l t / q l h 9 + n h h a x 2 V M W P 6 G W X 6 r W 3 7 4 e W J k H J c x Y f k b Z v m t b v n h 5 4 m B b V z G 5 A V 4 Z v k z 3 f L D z x P j 0 h w b F M W 5 g j 4 P V 4 w h X o l b I p z v Q 1 Q S t 0 Q 4 W k P s k U i 4 E b e B 0 A g P M U X c 1 w P h F M q C Y 9 Q h W I h f I t O Z C N 7 7 G C F n c J o 3 h P r w S w R P F c S Z U b Z D H m r Y D q c B K + S 0 g Z x W y G n D N o Q g O 0 O r x t Z w G x B y 2 k B O K + Q M T j g y c c K R Z U Z n o u d x j P v A Q j 1 E g j u k h 3 N I D + A w J W T D p C A N k 8 I y T A z E k B Z 6 I S 3 Y Q m p 4 h W M C K h w T Q u G 4 o A k w T A I I j K C F Q o D B D 2 i 4 g 1 i A g 2 h I A z 2 I g R q 2 I C F Q w Z T Q B P F g B G 7 4 A R F x g A U Z C O I K g D A C f u Q A P 1 g A j g 9 w 0 h s S G A T g 5 N G X s w P f v T k a 4 g D 4 z 1 r 7 5 / v 8 W a v 7 u n 8 M r 3 Z 4 k q + 8 d 3 X f 7 P s 1 5 d v a T / W 3 t Z 8 q b 2 u d B / d f X 1 + + 6 F 4 h D + F 9 9 q / v x 0 f 1 z u P 7 r t h 6 f H 2 P n u q f d q H q 2 u 5 8 v n j R W / s W m l y t X n S d f 3 X T l u 1 Z + 6 L z g 9 0 e v g y a + K q L N L S 4 v O x f T H f P r n u b v r P a v a b 1 C O X l 9 V X X m P P s e H h V P y w Q + 3 f U 3 S P q P s X b 8 v v V 5 f / + T 1 f s Q b C e h M 3 8 Z X n 5 M n i q / Y d d P 1 7 I n r / Q e / 4 i / V X z / o f H 4 Q / n 4 Q 8 X W l S 6 j X x 1 r Y S w u / E L p y e H H r v R N 5 G H n 1 0 j O Y z z 4 i p 4 O d 9 9 + q + e x G y 7 X v Z v p i 4 3 4 m n Z 1 9 f r o f K 2 t U u H B + 6 t 9 b w S R b v G b l b b l 3 2 s q V U 3 6 u + L M p 8 f G j D K N y u + f d r r 1 d P W N i w W 2 4 7 K 7 O z s z I m 0 h Z / E 7 Y V 2 e w O I 7 L 1 3 0 w T 2 C k J x v R K e s O S L D b 7 E B Q W v 8 4 K H b c M H / v x j V / G x u B G 9 + 4 D u h 4 3 E E p W / p 6 / o P m M p c b p M S a X u R l M I 1 / 0 p G S q P y e 8 Y p H S E W R y j i R v 9 X I 0 w P W M 0 I 6 O f h B H m X Y y m W v S z K 8 K E i t E c i n 7 a R J g p M Z o c 0 c + H C F M g R r M e + o k O Y W 7 D a D p D P 4 M h T F o Y z V O 4 O 1 h I T D A Y h L Q N o 9 i 6 g W u 9 W L W T w t P K i L R 3 i c a q R U d M i 4 d 4 X A T E t K C H S p z D k w M o 3 S H a 4 e 8 D A n 7 Q D u j s z z 9 1 w b W e u 0 j u i 0 U P x q I w r r N I I 4 q L 4 b / T 1 6 / v A s 8 e H H b e b p S n v / Q 9 0 4 H A 2 0 U v t c P e T 5 e L Z 8 u v F 5 c 3 y 3 s R m U 5 P H i / a f / z 9 5 H R X a 7 2 v / q f l 3 7 c t F H W I c 9 q G E h d c n p 5 8 0 Q 3 e y T S C m g y G D 4 z k s x u K R L j r F n u 6 + l E U 0 Q b D H j U a J j 4 c U a Y 4 T 1 n y I N n 4 K E 3 g Q 5 P Y p o 9 d 1 o 9 d b A / S f z + D X 7 X x y o 8 a L 5 s y f T g / n J 0 i e a j y l A l 1 D A t l M g t F 1 w t d 4 + 2 / T 3 f / E b L S 1 2 1 5 g V v E M H T d b P P T 5 a q 3 8 + 3 S 0 G G y V W f I W 9 j 3 0 r V y F 1 2 h Q V 0 A U 6 W y I e 1 r t i B y a K L r p Q 9 / b q 3 O 6 t W q / f F e J 8 X s P 2 + u t 8 u L 7 c 8 t n Y 8 2 t + / 2 4 X 9 B Y 2 e G k T m z r l h + k D 3 H Y P U n O N + 3 2 5 Z B k K 7 c 4 V h A 7 Y Z u L l C O / C i M h D 2 3 W O J s z f h s D S V U + e u C 2 p 0 d z g N m X T C 3 d X 8 U O N g R d a Z W R 8 3 U 1 n i c j O c P m n 2 N c J b W U X m 6 W a t 4 V 9 l D V / W z a l o / 1 U f 1 U + 7 M 5 U g n M Z 4 4 S 0 2 y S W n B 9 f z 0 6 u b y k h o S J b R o S j D R l P C h K Q F D U 0 K E a k F B t T C g P P B n o h Y W 6 V r Y 9 F q o d e p w u H E 4 J k i N 2 n r y 2 P N 5 t L + l R m 8 N a 9 q T 1 C i u J + e B B 8 W l G h s s U X e k S w f x 3 P G K i B 6 i w + v W O p y P x C K + e r W c k x I V j H J 4 r q t P F N 2 E J 7 s a E x w S A 3 6 j o E a h r C L s C Z u F z g f 8 W l L q D g t + u P 6 b M 9 C a 1 B x 0 R 9 h M 6 n t 2 h K 5 x x K E u Y D 5 p H B K 4 U I W d s A n o v O 6 v d a r 7 8 R m n l N Y b H G l H W E 4 a n y T v k e A p H X p 3 V w 5 S R i i J D 1 V g B f o B / v d j p P p w + l F y T d h g + g L H z s U Y 8 e 3 5 6 v Z s L O V 5 e x 7 f k F K e C + j c f T I 9 l N P G 4 T i o 2 V 2 I i Y K X f w V X V O r Q T w C z t t o N / Q T 5 2 g E + 6 4 b D + d w R u f J G O k 3 6 V g s i T U 1 w P L T K o j Q G v b L t j 2 d X 6 6 E A 8 f J 9 M v 7 l F 3 P 9 X I f / V t X z O I R v 8 r j p + s R j e e R G Y S Y d 2 3 e 3 m m I 2 a z o D 2 T y d g S Y 6 Q d M 9 S x p L 6 a e i 3 T 2 u m M 1 4 6 y 1 8 U w Z t w r 4 o G 0 4 y a O d f + G g / M h S P g 5 9 2 l c j 4 P P b 3 B H y 0 z s M 1 d M L o P Z G / O q J M G t U n 9 K M j Z 9 q g P 5 G / O p 2 Q a s G f Q C X R Z u y R x / Y J O y X m x t a 4 S T + w z x J O 7 B M 4 U I U s J 8 y a 4 K x e u u 6 D S 3 z u o E S c a d 4 Q B b e p I v z L i 1 X d a n 0 K b 1 M 9 c G + 7 x p w d u t 8 h f t 4 Z O e a T p y / o X A W d m O C z E H z K w c 4 x 2 E k F P 4 s Q O 2 S x J Q P o H 0 B 9 g O s h i N d A p I Y K N Z D n Q z U X h E y 9 e O I e H I Q L g G v l f U O O T b N q Z b H d Z H Z Q T s K 3 N x T + Z W 8 o n L 6 9 C f h b v g n 4 9 m 7 a b / Z u m p 4 A P J b y W 0 v y r a b 1 / v e 4 E 6 e B X 3 5 M H Q W I U T D + 6 y 9 z m m T p l z u y h N s d / 1 x Z 0 o + q u 3 A z a a c u b w I Y p G 5 q q g m b m t 2 x 9 h 2 w y h N c 6 r O H + q 7 0 y H P o K u E 2 2 a 8 F f T R x + L k l k D x + E e 0 f I M L h l c 6 m 6 + 9 2 B K + X 7 n X Q j 6 5 f P V 1 d a a p T d 3 v P Y M V + o q y i T 5 S V 7 Y m y 2 j j 2 + 5 f T H V v r P X + x i 0 5 f X F 8 t 3 z 3 d t 9 E l O 4 z 0 g F G 6 A H d Z 2 w s Q q E D k A a E E x A Z w s Y e r N 1 w W 5 T p 3 d O c N T W 1 i P W e n 9 l x 3 D B m H c 1 G s F g V i U Z Q V h V B R f B Q F I T r C O H p o Z L M n i p H i / g w y o C 3 R 9 n + a p X I m 1 k H p N l j g 5 P W r n r B + 7 e 7 4 T H q y c K 6 h N + 0 + L X f H R O R J B A k x P K l S a d J 7 r Q s 2 1 9 3 P O 2 K H 9 r n 4 e T j E P n L F 6 k r M l t t n O + d 2 2 v n D l + j j y T 7 v e f o h 1 s M E T 5 i m D k c e r C d 7 6 v 6 x + 6 v 0 0 2 q j n F a D T v p N n V C / P U 1 O O 0 1 O m F u n / 9 b H y J E 5 G m 5 Z Y 3 P W 3 d J q 8 9 f b 7 q q H J X c 8 v u b b u t M 3 c T 7 t W H 5 q 0 U / f H j W / P W p O O W o G o G T c N y Z B 0 x g q H N f G r 1 Y / 9 m v h p o v W 1 U W 2 G N / u t L / E T / K G u x e + s j 7 p 1 t C z B 8 v N s 0 G j V d T B L + A I 1 m I 4 Y 7 I + T R m X V o Z 3 H A F W m 4 R X n U D Y 0 9 n 8 d N Z L M c N i z F 4 f v S o q L M 6 i 9 5 w 8 g d r m + 4 1 S H 0 E G b p V m R + + V / F d I D u g k 7 6 y w N P 0 b U R X t u C + n f v f O 6 o r R / / 0 7 7 2 x + W L S W Y / b x x Y O W m c v l t i / Z B f F p / / x o c 3 v 2 4 P r Z z a s u t / P H q / 4 0 4 K p f S e + d 3 O 9 i 8 G z u b 3 9 c P n 2 6 N P c / W z 1 d L 9 Y / 3 / / o s l 2 V L r b X 6 8 W L 5 f 0 n V 8 s H 6 9 X t 8 r 2 P W 9 u 0 7 r B g K 8 P D Z b d t 2 C w v 9 i v c i 1 X 7 w 9 X y a v 9 D p / o X 2 7 N P b p 4 u 1 9 u b z f 2 H 7 c d 1 O 5 3 f m z 3 6 U 0 v + b 6 u X L 5 d d d K D 7 j 6 5 a M 9 E W v + 0 X k v t 2 b o v 7 z z a 3 g 1 K 3 A 3 R 1 f w 9 W 2 / 9 s B e w K n L U F 2 n 3 1 7 J v D f r y V s 9 + R 7 4 B v + 2 e V 2 d P Z H 6 + e X f d B g z 6 Y l c V 8 b v 7 a K 1 j X i Z 8 s F 5 0 A / R v p d l j a e d U v y L f L x c 0 4 o F + u r 1 + 1 O / x d 2 X t d h 7 Z E d 7 + e X 1 5 e P F t c t m P 1 w X Z 9 s x y b 9 s c n q h 4 a J 6 2 W v g 4 X 1 k d X 2 z I / 6 2 r 3 O y z f c v U 6 0 6 2 x 2 9 W r 4 X u w 7 s o C Q R y l o H l n p + A / + D u / b H e n y + X V H 8 S X r / u n J E 6 u b V Z k O Y Z b U 4 o 4 0 c D S S r X 2 b 7 t Y X W 6 U 0 l 2 Q M / l 5 W P 9 m K u e y D C f 3 4 S 7 q m N 7 i o d Q e O S c U S a C 5 B 9 U J R R J a G 8 F 4 U i H e 4 i H a W q S b U T G t V W d 3 o D Z 8 s d u O y i 8 O P i c f d / s E + f W w C Z C f 9 v s I l d 4 A y p G + y v v f f g m 5 Z f e / / / G 9 V 2 2 P L Z 6 v l x v x r Y U G 2 u f j Y 0 m g G R M L h O D X e X C 9 7 A / C r h a L z T b Y I f S / X 7 / o u d m j m + 4 k 6 g / S e E X e 8 Q c 0 V 6 3 + d I 0 v X a w 5 N P 9 i 2 a 3 P L V i Y d R p 5 3 e + N 9 r I 8 7 6 8 e b l S t I 2 / E w V j 2 c j 5 r M W q r N 4 s + M l 7 A 5 e G 6 4 w 6 s H 6 j y o v s Y i r y E i I + o F T 7 I k V g 6 2 L i T c n 2 n 0 M G R w f 3 k d / 5 W C 5 Y V W + x A e W J B A G W j K C K g b P Q 8 I o c S L F C W n c T g R Y S y 8 t p N l p 1 C + V F E Z v 8 1 l u i y R x O 6 x H + y B Z q a x v e 5 3 p i 8 r y 8 j N O N q S R f n g 6 r 7 k L w S i x 1 i 8 7 L O P U y z I b c Z b / s 7 G d r B j d 2 d 1 r 5 V 2 s + 0 9 v O 0 9 j O l / U J r v 0 x r P 1 f a r 7 T 2 6 7 T 2 C 6 X 9 R m u / j 5 2 d Q K D U B l g d Y Z M 4 x J V G Q R 1 j k z j I t U Z B H W W T O M y N R k E d Z 5 M 4 0 P 1 4 Y X s W v M V J s h u p T 1 u o U A f l 6 n a A Y n J j 5 X o 8 x X p Y o 1 L A y i U o a P b D Z i o F r F y C g m Z B b K F S w M o l K G g 2 x F Y q B a x c g o J m R a w 6 0 l n i S G t m J F N H O k s c a c 2 M Z O p I Z 4 k j r Z m R T B 3 p L H G k N T O S q S O d J Y 4 0 M y N p e b p x x c T 3 b V Q w d Z 3 K s Y L B r N 6 M Q q 6 u U z l W M J j C m 1 L Q s Q h W M J i v m 1 J Q 1 6 k c K x h M z k 0 p q O t U j h U M Z u K m F N S R L h J H W j M l h T r S R e J I a 6 a k U E e 6 S B x p z Z Q U 6 k g X i S O t m Z J C H e k i c a S R K c F R B M g + 3 f F a g u M L 6 N D 1 y 0 W 9 u 3 7 x d F e v J B P x + / o V F C c w K y g 8 w n 7 B q e 6 8 Y F j 6 D l 1 d b b b r m 2 f b 5 c 1 a J 9 a X f r 5 a r 7 q E C g l F t 4 t X T 6 + X 6 + 4 A s B 2 K h A r A b R 0 d W N c r n D 6 s v F b U u 6 0 M a U o x q x W b 5 g S P D i Y n 5 A 1 l r F w 4 j r z 4 8 G J f O / N z z x 5 Q X R m b I M Q W / Y N + l Y S 8 C R R S U s M b C I K P H s c I 3 n C Z Y E w E S e I 8 Q s J D T I I I i a g g y R x z m p Q e h Y G u K + r 6 X o L 1 v a c p 8 s v 7 K D d Q t i j a K 1 U M U A I M I L m w S V x o i L B U c U I J c I L k Q u 5 a E B c a a i z 1 M y y A J S Q X e R I X G r I s V b x R A r w h u Z D 7 K 8 S F h j 5 L V T u r J O 0 s k 7 j Q E G q l a m e V p J 1 y J 4 i 4 0 F B s p W p n l a S d d R I X G t K t V O 2 s k r R T n k 4 g L j Q 0 X K n a W S V p 5 3 i a q p s t A J l H P l T 9 r N O s Z 6 L 5 1 O x n r W p o n a S h J s 2 A G s 2 C 1 q q O 1 k k 6 a t J M q N F s a K 1 q a Z 2 k p S b N i B r N i t a 6 v y B N T 9 P M q A F 2 V E N T C e B i a n g m 2 g v q L G n Q L O l I R z G G h z a j G K N R 5 0 i D 5 o j g A k 0 R y Y U 2 Q x p 1 h j R o h g g u 0 A S R X G j z o 1 H n R 4 P m h + A C T Q / J h T Y 7 G n V 2 N G h 2 C C 7 Q 5 J B c q C 6 3 i M 8 t S T 0 R y J B s q I 6 5 u e 6 Z m y c p K I I Z k g / V f T f X / X f z J B V F Q E P y o T r 5 5 r q X b 5 6 k p A h q S D 5 U V + B c 9 w X O k 9 Q U g g 1 g v z S w Y e a 6 p i L 3 M O B E q h n k R B Z z f M i 6 q i I v M m C E l Q J 4 g z K i 6 y p y N g N G Z C O Q E V n M Y U R X V u S T B o w w d g H i o I z o 2 o p c 1 4 A R K Q 1 k B B U D p y o p 5 x h 3 d m 4 b f X I g 9 3 Z P N X 6 S 0 R f q 7 q a 9 3 M 7 6 F x 3 X y + 9 b N k l 7 E + 7 a 2 M h d D A j b Q 5 Y h a i c s t 2 0 i X Z d s a w j G A C + 7 x z b T i v g 5 C W c b I v Z J f n 1 j 9 Z m B / O 6 S b b g n 4 G x L n U R s a x j J A G + 9 y 3 a G z L l g G 2 4 h K N v I f Q / Y 1 k C V y X T L j P z 3 k m 0 2 6 o R t p n g S h D H r C Z z + H t d S h Q D X v B D k m u m d h G y U a 9 3 0 I X e 8 5 J q r P + I a u O c R 1 7 L R k W v g w / e 4 Z p Y K 4 7 s 0 r p n W S T h I u d Y X e u T U B 8 s M H x H I N t M o A B 4 p 3 3 I o P L 5 5 R 8 a w I + c b 3 Q 5 A f G t Q U 7 8 d Y N D 1 A M A 3 L w X 5 T l s k V W Q K b h V 4 f C c t k h C Z K n y n r Z I q k N X v G R h 0 0 Q D w z a 0 7 5 D t t m V R x L / B U e X d C k 5 Z J C m g x 3 9 g v J f m G r R 5 3 e 2 t K c H K 6 N u t + L o M d X e c p U P k 8 H S p P u g 1 m d K e Y w V 6 x k G U I l Q n L b Z v Q 6 k 6 6 Y m a A n 8 x j G y p + y D a E y p R t 7 B S b d G / N 6 A 4 v g z 1 e I d s Q K n O 2 o a m b d B n O A B + Y x z a b h x g q i 0 K Q b a Z 4 E i o z y 6 X 7 s g x 2 Z o V c c / 2 H X D O 9 S 0 f K w L f l 3 Z C H 9 j b k m s 0 w z D V 2 Y 8 G b g J R r 3 f J h B 1 X I N R 8 Q y D V T q H S k D P x V H t e 8 G 2 N I m X P N h E x H y r r X x 0 C 3 j 1 x l e C n E N v D x w K V G Q 8 r A E + T x z Q x V A l L m f D P F m 4 C U d Z + O g U 4 d y T c 3 7 Z D v t D V S R c r A z + P x n b R G Y q T M + L b Q q Q P 4 V p C y 1 f 0 1 F v p r J N / c 4 k C + 0 1 Z J D S l b 4 M D x + E 5 a J S m m J X y n L Z P o F H 1 C C E H 6 H E Z 3 4 V j g w n H q q m b M a q b E 6 n 4 S C 6 b F E U E g / Q b 8 C M D + N x Q X 1 y 8 R C / 9 K a E k 5 U L T d d F K y t B e 7 W C c l S 8 R C 0 h J S c p 6 g y M D p p G R p L + q y T k q W i I X J J a T k T E R R j N N J y d J e v G i d l C w R C 9 1 L S M k Z j D I L p J M C 8 O d z 5 9 3 m G I x s d s / f s 4 P L 3 5 P C 4 f K n l S p 0 t W g h 6 e n G N u 2 f e w / O D r y g 7 X h Q t h V k 7 L D Z v V d d h I x W y N n L 5 c 1 / t x 3 z 6 v r F 8 n L 1 4 0 t 0 + / 8 g l I p Z L H K b S q H A t p 4 J B T b r R w r V M q d s N C z w s 3 q C A V A j B Q M b f y Y Y 2 M 4 f L R h w l Y 6 C 6 T 5 L i 3 y W U j B w N M A E A x v + 4 w X T 4 J z u 1 b T I q y k F A 3 4 2 J h i 6 r n e 0 Y M p O 3 e p + T 4 v 8 n l I w c L + J C Q Y u O R 0 v m L L B t L p n 1 C L P q B Q M X J h i g o F b U 0 c L B l y s j m C 6 q U e + U y k Y u I H F B A P X s I 4 X T D n q s r p 7 1 S L 3 q h Q M X O l i g o F 7 X c c L p m 0 S d A + s R R 5 Y s D i D O 2 J 0 d U Z v w o 8 V D T h z R 9 F 0 N 6 1 F b l o g G p u L S L R o 2 Q m S a R t h 3 Z V r k S s X S M Y W P C R Z t O w E y T T 0 o T t 7 L X L 2 A s n Y y C L J o m X T J Q N e Y y c 4 h w 4 / k D s Y S M Y M K J I s W n a C Z B r + 0 B 3 G F j m M g W S s F J I s W n a C Z B o A 0 V 3 K F r m U g W R s N i L J o m U n S K Y h E N 3 p b J H T G U j G V j 0 k W b R s u m T A e + 1 I p k M Q 5 C I G k r G R R Z J F y 0 6 Q T M M g w F X s S Z a E Q e j + D U k W L T t B M g 2 E 6 I 8 l L X I M g 8 0 0 K 4 V 2 0 9 G y 6 Z I B l 7 M T M E n H I M h 3 D C S b g E H i Z S d I p m E Q / T m l R e 5 l I N k E D B I v O 0 E y D Y M A v 7 U n W R I G Q d e V q W R v E I M A 7 / Y o m f 7 Y 0 i I 3 N Z B s A g a J l 5 0 g m Y Z B g P / b k y w J g 9 C T E i T Z G 8 Q g w E v u S K Z j E O T u B p J N w C D x s h M k 0 z A I 8 K O 7 k i G P O J B s A g a J l 0 2 X D P j a H c l 0 D I J 8 5 k C y C R g k X n a C Z B o G A b 5 4 T 7 I k D I I e F 1 D J 3 i A G A f 5 6 R z I V g 2 T I 7 w 7 O v S d g k H j Z Z M k y 4 N H 3 0 0 y B b 2 N S K f + j k 0 H K / + C m j K K 0 o i m i g i 6 O x J 3 W s 2 M p h U F u L F w a Z c f C J W F 6 r P A k q 0 + A 7 K a s A t m O 4 5 d l j 0 + j T O M e g l s d n n 4 r q 2 u m X 7 z I w M U L p 6 5 q M T J w w W G Q / v l + F o z C q h d t M 3 A X w i O k L E U Z u A v h 1 t V u L 2 X g b M y r C 8 A d F V A N Q A 0 O d D x C 2 i i A g w W v r o K H M 9 0 j m K F d I h V Q 0 z K w K f M i s 2 q D A D Y H X l 2 V r t 6 v C O l R + Z Q d U w a A l U d H G w O w w H t 1 N e X W v U 0 Z 8 j Z R + W R f K C n 8 A k 1 O S u g X 1 D k q H W y w b K X k g g 1 l Y t k C / X I P V p t n l 4 s V S n B y 3 u X L G i 5 A P W 9 H Y n b v k K v o v U c P g K B d j q b 3 / v z V Z 5 K X L v v S o r s R M q R R 8 r 9 + u G y 7 s s s O 8 s N 1 u z I s L 3 9 Y r u S b h a 7 Q 4 v I 5 T b V 0 a G S z b c v I H m w X o q 4 3 E P 0 u D 9 e s S 3 E l M 3 4 8 v F 4 + b 5 H K 2 m s 4 k F p U + v L B x + / P D o m j u s R g U j m H l B q 7 R X n I E b L C i 7 G X M G M s O a O r S a Q G u o T h 5 c 9 I p a H U w D T O k y U + R / z j k o g L v + Q v h + R g h 8 T e t 8 v 1 3 7 r o g W 7 G w q + W r 6 5 v n T z R X V 0 n k 1 i X i d j J u o U T b e H c W j S d V j S D l k y a R f J k R V J j 0 W x Y O A G W n v M K p 7 n S M 1 u x Z F a x / F U 8 Z V U 8 S 5 W a m M r L R R W m n x I Z p / w k U 1 5 e K Z x K K s j 9 J N M 9 H Z 1 l 6 Q 2 n S m K J j / R c R z C 9 U S y j U T S J E c 9 H B N L Y R F L T R N P N J K e Q O Y C Q k z 6 D 9 R 5 z O E 0 E t 6 j d O n 1 G F + 9 0 g d a z X r 0 s q J f T e p l X r w j q l b R e 7 t W r g n o 1 r V d 4 9 Z q g X r 8 J 4 X l R 3 I g h Y U 3 e N Z V f M + w b w z u n 9 m u G v W N 4 9 z R + z b B / D O + g s Q s e J 8 R i c Z 9 i h L r i N q Q p m R V a Z m l N X 8 1 s 2 J c 2 p z V 9 R b N h X 9 q S 1 v R V z Y Z 9 a W t a 0 1 c 2 G / Z Q x n v I 1 7 Y s 7 K G M 9 5 C v b V n Y Q x n v I V / b s r C H M t 5 D v r Z l Y Q 9 l v I d G b U t 7 0 u x Q C X s z d 5 v S 9 C 0 P e z O 3 t K a v b 7 m w a z m t 6 e t b H v Z m X t K a v r 7 l Y W / m N a 3 p 6 1 s e 9 l D B e 8 j X t y L s o Y L 3 k K 9 v R d h D B e 8 h X 9 + K s I c K 3 k O + v h V h D x W 8 h w Z 9 6 1 G D E h 5 f j 4 i f E g Q / E r R d i d M e D 8 0 e R v C M R G M P o 2 + l R V Y P g x F E w q O H L 7 K i o c 5 3 Q q T j l y H Y u A c O 5 m M 7 4 q F C 2 E n A D p S h l p e W N G h Z g 7 5 5 K E P l L 3 P S Y M Y a 9 K 1 G K f B Q S R r M W Y O + M S n D q V L W p M G C N e j b m D I c l I o N S s k a 9 E 1 P F Q 5 K x Q a l Y g 3 6 F q k K B 6 V i g 1 K z B n 1 D V Y W D U r F B a V i D v v 2 q w k G p 2 K C Y O W t x + D I 2 G Q 5 L T e c K n y z + b K n D g a n Z w B g 6 X Y w / X + p w a G o 2 N I Z O G O P P m D o c n J o N j q F T x v h z p h a b C z o 8 d N L s v 0 y J q O x w E I 5 m M x + b Q 5 Y P x z Z 2 t j 3 h W D a W N G h Z g / 5 I N u F I N j l p M G M N + u P Y h O P Y l K T B n D X o j 2 I T j m J T k w Y L 1 m C w d Z R 7 R z Y q J W s x 2 F P O x a Z y z s a l Y k 0 G m 8 2 5 2 G 3 O 2 c j U r M l g F z o X 2 9 A 5 G 5 u G N R l s T + d i f z p n o 2 P m r M 3 A B A 4 B b 7 1 G D Z 0 2 f N 4 E 5 y F y 3 2 / Y E B k 6 d w I z a O S R g G G D Z O j 8 C Q y h k a c F h g 2 T o X M o M I V G H i Q Y O l B 0 H h 3 M 5 M Q D B n H C Y O x 8 b A k i Q B J 9 a / y q H n 6 J g w l j L S F o d Y K 7 2 K m Q a K A M w x G G R 7 Q g R L M o 0 Z I R D Z R F H G o Y W x O i e Z R o w 4 g G y j Q c f 7 h E M 0 O I F j G i m W V E i 4 C o m G t Z T o i W U a I F I x o Y 9 u H o x C N a E a J V l G j N i I b n j G K 6 5 G y 6 1 D G i u W F E g 8 V h O E r x i G a E a B M l m j O i w f I h D l d M X h K i Z h 6 l W j G q 4 Q I z H M R 4 Z B t G N m K Q d u E u M d n A K o n D G V M w q 2 S i Z q m g Z i l c p A p h l w p m l 0 z U M B X U M I X L m D j c M Q W z T C Z q m g p q m s K F r h S 2 q W S 2 y U S N U 0 m N 0 6 H u 1 N N P I 8 4 a z O G w A Q V b V A L s j F / V x V C c R Z j D Y Q Q K l a h G f i o r R j R Q u l J M s b I h R L M Y 0 c P J R O S o 1 o g j C F N Z Q j S P E s 0 Y 0 U D h K j G 9 q o I Q L a J E S 0 Y 0 W A z F y Y M 5 H D 2 g G I E 6 0 Y Y R D R b D W k y t 2 h C i V Y x o b R n R Y D E U R w 2 m Z t O l j h I t G N F g M a z F s l 9 X h G g T J V o z o s F i K A 4 L T D M n R M 0 8 R r U x j G q 4 G D Z i 4 W 8 y R j Z i k H Y R 7 T D Z w C q J c w L T M K t k o m a p o W Y p X A w b Y Z c a Z p d M z D D Z O T V M w W J o x Q G B n T P L Z G K m a Q g H h 8 k G H s 9 5 a J u G O G + Q b M w 4 2 T k 1 T i Z w l 4 p T g S H W m l t C + J w D t b R i v 2 5 3 a p A e k M l t T f i b d 9 2 M g y X p 8 Z H u E B H J Z U k 4 s n f b f B z q S I 9 u d M d 4 R i 5 b 4 Q Q Z o h a x Q E V 6 b K I 7 R i N y 2 A J X D S x h K 1 f Z Q l 8 n x h J y 2 R I T b L f n x 0 G C 9 L h A d 4 w E 5 L I l J u D u V A C H + N G j + t w x j o 9 7 6 S M E E D Y z h K 1 K Z Q t 9 n R i F x 2 V L G I e M G Y d a Z Q t 9 n R h D x 2 U r B C E 2 q w h b j c o W + j o x A o 7 L l j D d u 9 M J E t o m E s 3 m j v F r H M b E C Y b N M 8 Z Y x M j f x c r v w s + 4 j A l L n z N L b 3 R T D z 9 P j B 7 j M i Z s f c 5 s v d G N P f w 8 M f i L e 8 d L W P u C W X u j m 3 v 4 e W L s F p c x Y e 8 L Z u + N b v D h 5 4 m h V 1 z G h M U v m M U 3 u s m H n y d G T n E Y E + c x t m Q 2 3 + h G H 3 6 e G P j E Z U x Y / Z J C Q t 3 s w 8 8 T 4 5 a 4 j A m 7 X z K 7 b 3 T D D z 9 P D D v i M i Y s f 8 U s v 9 U t P / w 8 M W q I e 7 F T W P 6 K W X 6 r W 3 7 4 e W L Q D 5 c x Y f k r i v E j I P 9 u l r 8 K L H 8 l L H / F L L / V L T / 8 P D H k h s O Y u K x i a 2 b 5 r W 7 5 4 e e J E T N c x o T l r 5 n l t 7 r l h 5 8 n B r x w G Z P X m p n l t 7 r l h 5 8 n x q t w L 0 0 L y 9 8 w y 2 9 1 y w 8 / T w w 3 4 T I m L H / D L L / V L T / 8 P D F a h M u Y s P w N s / x W t / z w 8 8 R g D y 5 j 8 g I 8 s / y Z b v n h 5 4 m x G o 4 N F O B c Q Z + H K 8 b w h t 8 t E c 7 3 4 a W + W y I c r e E 9 f u Q J v t t A a I S H d / b u 6 4 F w C m X B M e r w g N 4 v k e l M B O 9 9 j J A z O M 0 b n r / 7 J Y K n C u L M K N s h D / U p u 9 O A F X L a Q E 4 r 5 L R h G 0 K Q n a F V 3 5 u 7 D Q g 5 b S C n F X I G J x y Z O O H I M q M z 0 f P o v Y W O P 3 9 2 H z y L N 8 7 s W X P w k h k 8 X P b f K v v P k / G L 5 O 4 N M n 5 2 f P L o y 9 m B 7 b 4 H h p f H / k u 6 / s E w f 0 n n v i c e o 5 w c H g E r T + z c V 8 J + T f m c 7 1 P 9 O d + n y n O + 8 Y n v 1 9 e X L 7 p 3 j 8 M j + / 1 7 3 / E Z r / P c t y u 2 H t / 7 o s f B p 1 3 A m L Y z n y 9 e 9 P r V G s O r 1 Y u u 6 6 9 u X u 2 0 5 I v u 5 P 3 2 8 K X 7 6 d P r V 9 1 7 / 8 X l Z f 9 G s 3 v o 2 T 9 N v V y + W H R Z E W 4 7 b e p s 4 s v r q 6 4 x 5 6 H j 8 I 5 3 U M n 9 y 8 3 u 2 W a f a G X 5 / e r y f / + n V 9 R A g 8 N m / r K 8 f B k 8 D v 3 D r h s v Z M d f 6 B 1 / k f 6 O c v / D 4 / C H 8 / C H C y 0 2 z E a + 8 0 x K T 7 4 n l Z i i c e z G 8 e 2 J 9 / P + 0 c g 4 z o u r 4 K 1 u 9 + m / e h K z 7 X r Z v 9 K 4 3 I j H L F 9 f r 4 f K 2 3 Z J P D y p X b c 8 i q J d Y z e r 7 c s + 4 s O q G / X 3 R Z n P D w 0 Y 5 Z s V 3 z 7 t 9 e r p s j U c i 2 1 H Z X Z 2 d u b E u 8 C P c P Z C u 7 0 B R P Z e 2 G g C e w W h u F 4 J T 1 j y x Q Z f 4 o K C 9 0 D B U 5 r h A 7 9 w v q v 4 W N z B 3 H 1 A N 1 J G Y o n K 3 9 N X d J + x l D h d p i Q 0 d d 9 v O w / r N 7 u l M j l P 1 D F Z l o L E S j C X U j R 9 k p 8 x C S Z J i u Z F 8 l M h w e x H 0 Y R H f o 4 j m N Y o m s n I T 1 4 E 8 x V F U x T 5 W Y l g I q J o 7 i E / 3 R D M M B R N K u T n E Y K p g 6 L Z g n Z b m c Q 0 P 0 F g u T C W n B s + z o s Y N y l I n I w L d 5 e Y a F q M o r S o R M f F I U o L P a R E G z o 5 Q N I d n h 3 + P u D f B + 2 A z v 7 8 U x f M 5 7 k D 5 L 5 Y 9 F g s i u I 6 g z S C u B j 8 O 3 3 9 + i 7 o 7 M G + 0 I k T V e Y v f b 9 0 E P B 2 0 c v s c P f T 5 e L Z 8 u v F 5 c 3 y X k S k 0 5 P H i / Y f f z 8 5 3 d V a 7 6 v / a f n 3 b Q t E H d q U t K G 0 B Z O n J 1 9 0 I 3 c y i Z 4 m g e G j I t n s x i E R 6 r r F n q 5 + F E W U k b B H D Y W J j 0 W U J 8 p S l j x C N j 5 E 6 W x o 8 t r 0 g c v 6 g Y t t P v r v Z / C r M l j 5 U Y N l U y Y O Z 4 d y U y S P U 5 4 y l Y 7 g o E z m o O j 6 o G u 7 / f f p 7 j 9 C T v q 6 L S t w Y x h E y J p t f r p c 9 c a 9 X Q 8 6 I L b q r H e L 9 V 6 6 x u 2 i K z S o C u C p V H a h f c 0 W O Q 5 N d H 3 0 4 c + t t V m 9 W r U / 3 u u E m P 3 n z f V 2 e b H 9 u a X z 0 e b 2 3 T 7 y H m j s z D A y Z 9 a R y g / l 5 R i q / s z m + 3 a r M s j R l T s c B a i 9 0 E 0 D y p A f 6 o 1 w 5 x Z L m 6 c Z n 6 e h g C p 7 X e S s s 8 M R w K y L G N X 9 e 2 9 A t D l a H T V H W 6 t x M p 4 4 a G Y 1 w l h S N + X p 5 q z i H W U P H d V P q E m 9 V B / V S 7 k z i y N d x F i i H D X J t q T F 0 v P T q 5 v L S 2 p B l N C F K c E K U 8 I T p g Q k T A l B q A U d 1 M I M 8 s C C a S p Y p K t g 0 6 u g 1 q f D U c b h U C A 1 K O T J 4 U B v / 1 t q c M i w p j 1 J D R J 5 4 p w S C q q x s R J 1 R 7 p 0 D M + d s I m i h + j o u r U O p y G x g J J e L e d c R I O f H I 7 r 2 h O F N O E x r s I D x 8 C A 3 S i S 4 Y R V R D 1 h b 9 A 5 m F 5 L Q t 2 5 w A / X f 3 N G W Z G Z g + w I l 0 k d z w 7 L F Y Y 4 t g W 8 J w 1 C n A l V 1 A m Y v / P n v d a J 7 g d n n E x K X 3 B k H e E 4 a X B S f E S C p X S o 3 b k y U 4 Y n h Q 1 V X A X s A f b 3 A 6 Q 6 a v o h c i 3 X Y P E C 7 8 3 F G E j q + e r 2 b C z l u X Q e 3 5 B S n p / n 3 H 2 J O Z R T R u E 4 c N m 5 2 a O I 5 V / B 3 Z Q 4 8 B P g q 6 1 2 A z 9 B v H Z 4 z 7 r B c D 5 3 R K 6 8 c U 4 T v t W B S F M T f A u t q i i N Q c d r + + P Z 1 X o o Q B x 5 n 4 x / + c V c V 9 b h v z X l P A 7 T m z x u t T 7 x O B 6 Z 4 b y k o / n u o k T M X E 2 m n 8 3 T 6 T f R y Z n u O V I 4 S j / 3 7 C 6 G x M z F W 2 f g G 7 J l E / Z B 2 X B o Q f v + w k f 3 k Z F 4 H P y 0 q 0 S G 5 7 G / B + C D d R 4 u n h M G 7 4 n 8 1 R F l 0 q A + o R 8 d O d P G / I n 8 1 e m E V O P 9 B O q I M l + P P J h P 2 B k x H 7 X C T P q R f J Z w J h 9 n Q B W x n D B l g t N 4 6 Z X / P G A h + Z q U N z 7 B P a k I + / L K V L d I n 8 J 7 U q O L K c H P o z s W 4 s e a k f M 8 e d K C z l D Q 6 Q g + 9 8 A n G u z M g p 1 K 8 H M H s S E W m z A A + Q G + B 2 A e I n c N O 2 p g U M N 2 P k J z 0 c f U K y X u O U F o / F 0 L 7 x t x b J Z V C 4 t t J r O B c g 6 + v X v w L 3 v 3 4 P T t H b / f 8 h 2 / t 7 f O f r O 3 z v Q E m 7 G U m l o S T T V t 5 r / H b T c F + f J j 6 S g + j A L x X 3 + V U w R L v 7 2 R J V z f + K e K k n 4 2 3 c W t S D t s e R O o I H E / U 0 3 Y z + z O s e + A U 5 7 g U p 8 9 V H e j R x 4 8 V w n 3 x H 4 t 1 K N I w 0 8 q g e D x K 2 a / v g S H h z e b r r f b 4 b t e u l c 8 P 7 p + 9 X R 1 p e l N 3 W 0 6 g 6 X 6 i b J 8 P l G W t C f K M u M a 7 v G P x v 2 j e y j o / N W 5 v 3 f 8 r / e C x O 4 7 f X F 9 t X z 3 0 E i X W k 3 v K a N 0 F e 7 a t r c g k o H Q B G I N C B 4 g G o D L O 1 w 3 w U I o f m v A b 3 2 X i x / v 0 P N D W 5 t I t 9 u p 3 d 4 d c M b B Y h Q J R m F e F M N F A V o U f U U h T g S / q N + b y P d + v N U C d x h 7 2 e 4 J t 7 T c D 0 M 0 p q X Z / k 8 z t 8 6 s P 0 y J D e 7 R 1 B W 4 n r A C 7 2 4 j T X p K c a 5 h T + W 6 L / c i R c R J B D k R M K w S a d L 7 r A u 6 1 V 0 i P G J 3 + b n 4 + e T 4 f N E n n 3 Y l Z s v t s 5 0 3 P u 3 s 5 E v 0 8 W S f / T n 9 A O 5 h g v 9 O U Y Y j H Q L J 7 s V / 7 N Y w + Z z d K O f s o I 9 + U 2 f r b 8 / B 0 8 7 B E 2 b W 6 b / 1 A X h k i o b b 7 d i U d b f j 2 v T 1 t u r q M c 8 d D 9 7 5 p v T 0 T Z y s O 3 a f 2 v P T t 4 f k b w / J U w 7 J A S Q Z N 7 5 J q D S G C A 9 L 4 1 e r H / u l c N O F L O q C b Y w v i 9 p f 4 m e Q w 4 U R X 1 e f d E v o 2 Y P l 5 t m g 0 B r k 4 H e G B G c x k D F Z m 6 a M y i D C Q Y D V J u G l K R D 2 d D Y / n f V S z L A Y s 9 d H r 4 k K i 7 P o 1 S x P o L b 5 b m N 2 0 v 5 L s N l v k W b H 7 p H 8 J 1 I O 3 i R v w L A s / b t V F e m 4 r 7 r e W V 0 R 6 r 9 / 5 5 3 N D 4 v W Z s w e f v r 1 o 5 a X y + W 2 L 9 p F F G r / / G h z e / b g + t n N q y 6 5 7 c e r / p D h q l 9 E 7 5 3 c 7 w I C b e 5 v f 1 w + f b o 0 9 z 9 b P V 0 v 1 j / f / + i y X Z A u t t f r x Y v l / S d X y w f r 1 e 3 y v Y 9 b s 7 T u Y G A r w s N l t 1 / Y L C / 2 i 9 u L V f v D 1 f J q / 0 O n 9 x f b s 0 9 u n i 7 X 2 5 v N / Y f t x 3 U 7 k 9 + b P f p T S / 5 v q 5 c v l 1 2 o o v u P r l o L 0 R a / 7 d e Q + 3 Z u i / v P N r e D R r f D c 3 W / E 6 v / R / f t r P 3 W 7 q N n 3 x z 2 3 6 2 I / U D v 4 G 7 7 p 8 m q 0 9 k f r 5 5 d 9 8 G L P p i V x X x u 3 C 1 6 + 1 u w X / / r Y X A / W S 4 6 y f r H 3 O 1 w t b O t X 6 R v l 4 u b c a C / X F + / a u v v y t 7 r e r p l a f f r + e X l x b P F Z T u G H 2 z X N 0 7 T K C y Q o 9 G v r m + d z a H G R 2 s n / t h l I 7 5 c P F 8 P + m p n w Q / 7 + F U D 3 N 3 H r u q P 6 W G i e b f O d y J g I 6 0 X R B 4 L 6 u W 0 n h / o S 2 T W p f X 8 + F 4 i G S i t F 6 S L D O q N i c 8 j C X F l x k H e N W E G s L A m 7 5 w g c 4 n M 9 U N r B u l H R E Y Z 3 k E i h U i o A o c u e q z r D o j q T 2 u G Q d v D m j m t G c Z w D m u W t G Y Y z j W s W d O a Y W T H o O Y Q J w 5 V 9 H U o C z s o 4 x 0 U B K s L O y j j H e T r U B Z 2 U M Y 7 K A h / F 3 b Q L n Y 8 0 g N f h U R Q + Z x n v P d V K A 9 7 K O c Z 7 3 0 V y o U F 4 h n v f R U S A d 1 z n v H e V 6 E 8 7 K G c Z 7 z 3 V S g P e 6 j g P e T r k A i m X v A e 8 n W o C H u o 4 D 3 k 6 1 A R 9 l D B e 8 j X I R H I v O A 9 N C j R P y h 4 o h s a U Q Y 3 d F 4 z H Q 4 0 Q A R S 7 0 G T l j z V e 9 O k p 5 Y 7 L r J i N I C i G n r R / 3 D X 6 D k 4 B G L K 8 + S X l 4 v N p t 0 t H v F O e W j A j E 2 I J 7 n R B 8 t D E 1 Z r I v Z y W X A h H 8 r F n z A L P v B 1 e N D N h m N K P W r Q 4 X 3 0 r x B L 8 8 g o C 1 C 8 n R r R l 9 x D 1 y 2 6 M 9 4 z + M j 3 y P f 2 k Y g L r / W X 4 h 5 X 6 H W r 1 r x y l T / y / P u 1 / h L d 4 y p Z x e x x K l a e g G f f p 3 c M G 5 r W g c r d I S i f 8 2 5 c i 6 T A n p F r r C h O V F 0 C 5 + l 0 j K e p + q U 4 K X V R 3 N f C E Z 6 S t S s 7 T r u a k / F 9 7 t S g A p O 0 I 3 O f y o b 4 4 O n e 1 X 1 7 f f m i C 0 N 2 / d O L x e 1 w l u l b J P C O G R D L j + s M s + + M O z 7 u n 0 / q m Q 5 K v n 7 N E F G 8 a 3 6 M P g V 3 Y V O 8 v Y X 2 a B z w X x z Z 2 f N 9 b / + a b / U h v 5 0 m K i + a d 1 1 I N O 8 0 f A t J h u E 0 f N d I u / f U f 9 j I j k y j J 6 a x V / q v X 1 O w e D p 7 d L U t 8 7 O u q d 3 l B Q Y K S V E E / u K t e p 7 K o P C 5 8 u 0 x J X E R E S m 0 q l q x m C C b w O 8 N C 0 m Y o B e M E Q 0 h W n w 8 G O m 9 1 6 D f K f 6 0 2 G x n q + 3 y 1 W x 7 v R R 3 Q M + f P z 9 E m g u 0 8 v T g b / K c p 8 v F s x 9 m 3 x B 9 + + t / f E M V 7 P A N a B S q N 0 q H a o K v Q Q e G v w t a Y g A P X 7 z x 9 3 8 V r Q R 6 1 / 5 + M V Z 8 P J Y e t f 6 v s e F x X T v u A P H x b M f q k 1 X v T e n 8 K n t u g t F 6 A 3 3 L + s r 7 X U r 6 S R / z t T V d v Q + n 5 T D d 9 m m d 1 C + v g Y 8 9 m D O + F 7 M n 3 7 n b t 6 t X w / f O k X I S B h a U l 3 7 8 7 0 8 8 L 7 / / L f D p S 4 p o T g V M 4 6 F 0 J 3 g 7 3 l e X J 0 f 4 L 5 W R S P F j 8 m V G X V j U p S S y e E T M H j W e 1 P g q 5 p u Y f 7 J 0 0 I X H v z N E L g h B R Y B D P 8 G z D z 2 / q c 7 8 u + T 4 k J 7 9 m Z i a 4 f W X 3 d w 7 g L N T k v L j r c q 9 I Z X D C z o x N 4 G V C 6 O J j x 7 4 m N K M H v n 9 F c v l 1 e C X / 5 3 r m P d u / N 9 7 / e m D z 0 9 n n z 7 4 r P v H e f e P r 2 6 / + P C 0 y 7 3 z y 7 u / a 4 m P d c f 2 u y P 2 p 6 1 o z 3 f e c k D l 4 + v O U 3 / W O f 4 3 9 0 4 + e v / b 3 u X / 7 e D y / 3 b v 3 J + 9 N z u 4 9 3 u x 9 g 7 + W e D h 7 2 4 K u j 7 + 2 c X 2 b L b 3 8 n / L v P z f + l 7 + b z 0 H / 7 c f r p a X y 1 f t I K y X 3 3 / f P 1 I Z J P h i c b v q 7 5 2 a V o 5 O n N f z X 7 7 Z X V 7 4 6 9 g l Y 7 G x Y 7 5 c r N s t R M t j V 1 X 0 U v t l M f v m 0 e Z Q 6 j 9 v l u u f e 2 / 9 6 e z D 1 d V i / f O j l r H t 6 v t W U T 4 I q 5 / O u i X p g 5 O h Y L d O B Q 1 9 t f x / N 6 u W i 8 H 9 P z L 1 f 0 4 E J 9 s 9 B u g s w A k Y v n + J 2 x v 3 7 L t 3 u c A R j O / 9 D x / 9 8 T N + l + P 3 J + 5 d j q y y R 9 z l + N 2 v d 5 l j 1 D u 9 + X b Y v 5 l 9 f H P 1 b L u 6 v u r V 4 s P V 1 U 6 I k 9 c n J 8 u / L 1 + 1 U G P 9 c T v 4 N 5 e L b s d 7 c v L + S U x F T n 4 5 m f 1 1 V K g P m R 7 d e 3 f 2 w f 9 9 q 0 2 / I W 3 i R q T t U N d 0 v D X 8 n S W 2 b V X W V 9 P s P 2 n l V 1 s G w v F 8 O 3 n / / S f v r 7 A U 9 G q S s h z s 9 e n t k v B b 0 6 r d u A f i / w a v A E 8 b Y P 8 2 c D a f e w N s b G F T L w N P c l v 0 4 / r 6 9 c n w m 8 z e M f x u y e 8 Z + T 0 n v x f k 9 5 L 8 X p H f a / J 7 Q 3 7 v L 2 j B D 0 x i w 0 Q 2 T G b D h D Z M a s P E N k x u w w Q 3 T H L L J L d 0 r J n k l k l u m e S W S W 6 Z 5 J Z J b p n k l k m e M c k z J n l G 1 Z x J n j H J M y Z 5 x i T P m O Q Z k z x j k u d M 8 p x J n j P J c z r D m e Q 5 k z x n k u d M 8 p x J n j P J C y Z 5 w S Q v m O Q F k 7 y g x o 1 J X j D J C y Z 5 w S Q v m O Q l k 7 x k k p d M 8 p J J X j L J S 2 r X m e Q l k 7 x k k p d M 8 o p J X j H J K y Z 5 x S S v m O Q V k 7 y i S x q T v G K S V 0 z y m k l e M 8 l r J n n N J K + Z 5 D W T v G a S 1 3 Q 1 Z 5 L X T P K G S d 4 w y R s m e c M k b 5 j k D Z O 8 Y Z I 3 T P K G A h m O Z C i U m V M s M 6 d g Z k 7 R z J z C m T n F M 3 M K a O Y U 0 c w p p J n T P l D g H O 0 D D u g 4 o u O Q j m M 6 D u o 4 q u O w j u I 6 Q 4 G d o c j O U G h n K L Y z F N w Z i u 4 M h X e G 4 j t D A Z 6 h C M 9 Q i G c o x j M U 5 B m K 8 g y F e Y b i P E O B n q F I z 1 C o Z y j W M x T s G Y r 2 D I V 7 h u I 9 Q w G f o Y j P U M h n K O Y z F P Q Z i v o M h X 2 G 4 j 5 D g Z + h y M 9 Q 6 G c o 9 j M U / B m K / g y F f 4 b i P 0 M B o K E I 0 F A I a C g G N B Q E G o o C D Y W B h u J A Q 4 G g o U j Q U C h o K B Y 0 F A w a i g Y N h Y O G 4 k F D A a G h i N B Q S G g o J j Q U F B q K C g 2 F h Y b i Q k O B o a H I 0 F B o a C g 2 N B Q c G o o O D Y W H h u J D Q w G i o Q j R U I h o K E Y 0 F C Q a i h I N h Y m G 4 k R L c a K l O N F S n G g p T r Q U J 1 q K E y 3 F i Z b i R E t x o q U 4 0 V K c a C l O t B Q n W o o T L c W J l u J E S 3 G i p T j R U p x o + f k f P w B U T g B p H / A z Q H 4 I y E 8 B + T E g P w f k B 4 E U J 1 q K E y 3 F i Z b i R E t x o q U 4 0 V K c a C l O t B Q n W o o T L c W J N s C J v 9 w p d g i 4 h R 4 N J H L c k 1 w 9 o s j r k z B K p x N D 6 P B y R D 6 1 8 V + Q K G 0 c X p X I N v z X J U o b z o s T 8 O g n e G Y b f x e D r 2 v u / o 7 K 4 0 e z Q 2 K F K b X U x 0 f H P 9 s N Y 8 E s w 2 A w 4 h K k 9 5 7 d e X f O o 8 Y 8 X D 6 9 7 m 6 6 9 n d Z n a A N h 9 f 7 T 3 c u u r H p h J g y o F U b a T U h 4 g x o N Y u 0 m h C P B r S a R 1 p N i F Y D W i 0 i r a b E s g H N l p F m k y L d g H a r S L t J c X B A u 3 W k 3 a Q o O a D d J t J u U g w d N B 3 m s f m Q F G I H t R y d a U k h e F D L s d l m k k L 0 o J Z j M 8 4 k h f B B L c d m n U k K 8 Y N a j s 2 8 n Z J F l w L f q M o G w / L B 8 O H I Q o j h X T C h 0 R z a s G r G z O w u e F C c u c D g 4 k h C y O T u Y g f F K f i a M A Q Y c i k 0 z P z u Q g r F K Q Q R e 3 B 8 I W S K d x G F 4 h S C y D 5 5 S K F g V n k X a C h O w b f P J O o Q s s + 7 O E N x C k G k o H l A Y Q g 6 h C z 1 L v x Q n E I Q U Q j H I k I 2 e x d 9 K E 4 h i D x U h h Q q a r 1 3 U Y k S Z q t v x 4 t w u p b c j n 9 X E l M u a P j z u g z n d c n m t b H f l Y k T O 7 D t p U A 9 1 A J n 3 5 W J U z u w 8 m U 4 t 0 s 2 t 0 3 + X Z U 4 u Q N 7 X 4 W z u 6 K r X / F d l T i 9 q e W / U X H 0 d 1 V o C C p m C I z 3 6 u n h 8 n r 5 f b f v G N 6 Y P f t h 9 X J L O L 2 B c L s K N b 9 i m m + j h L + r 2 M y 4 g a C 8 C m d E z W Z E F q d d s x l z A 6 F 7 H c 6 U m s 2 U P I E 2 m 0 k 3 E O D X 4 Q y q 2 Q w q E m i z G X Y D t w F 1 O L N q N r P K O O 2 G z b w b u F d o w h n X 0 L 1 C A m 0 2 I 2 / g f q I J J 1 j D J l i d Q J s t x T d w z 9 G E a 3 D D 1 u A m g T Z b p G / w v m Q e L s / D p Q W 8 t s X J D x c b V P s S b F / m Y i c 3 p 5 u B u H H 7 b r g L o T I Q H C j M Q x M 3 X I 3 A q 2 I K A z E r F y y Y w 6 0 K j w G 6 + T Y J l s 6 w f d 7 I g G / r h o s Y P g M U F y S Y O 8 O 2 V i M D e c C A 2 H X T b b d J s H n D v Q 6 V A b I O + 9 E U 0 U o 8 3 A z x e a X g I 3 h q j J m 1 x E o 6 v A Q a K z b m h u 7 M b R o L x F g 6 L A Q 6 a 0 N 7 O d w 9 w Y t z E g v E Z j o s B F o r N u S G 7 s j z N B a I 6 X R Y C P Q 2 E 8 Y z Y 8 a z S G I h I 9 b T Y a E I W B D m M 2 P m s 0 x j g d h P h 4 X g i C 8 T B j R j B r R K Y 4 F Y U I e F 8 D R Q m N C c m d A 6 i Y W c 2 F C H h e D g M B d G N G d G t E l j g V h R h 4 V g L R f B h 4 f r P m Q t T + K B G F L X N g X r e S 7 s Y 0 7 t Y 5 q B L B I M Z G A h R W D j 4 X I R W d O T m I i b y H B d L 4 S N L O i u L c 1 I F n E j G a 7 t I m j y c J W J r O 1 J T M T N Z L i + l 8 J O l h R k p h n K M m 4 o d 8 e w / 5 g Q 0 F 3 K p E N 8 l k O x z b b 9 a T P 8 5 A a J 7 t 7 K z b p w H v 1 m / O H 1 8 v n L 5 c 3 a r 9 H 9 / 8 s H H 7 8 / O 3 g T w w d 6 X Q k v 3 D S L k 2 e i w a J Y m O V Y F C g e W + 6 4 W H U y T 1 h Q Q I 0 S 9 U a S 3 I V d d x o N x 9 O 9 I u z 1 X Q 3 H c 4 d 0 a I d w M v e 3 Y 8 q s f 1 7 e o j c Z 7 O j 1 P 6 v 3 T v U k Y z x L 0 7 E J 6 q M p m 1 Q R m Y R u P C H B 6 e / / P 1 B L A w Q U A A A I C A C r m C F a U 3 I 4 L J s A A A D h A A A A E w A A A F t D b 2 5 0 Z W 5 0 X 1 R 5 c G V z X S 5 4 b W x t j j 0 O w j A M R q 8 S e W 9 d G B B C T R m A G 3 C B K L g / o n G i x k X l b A w c i S u Q t m t H f 3 7 P n 3 + f b 3 m e X K 9 e N M T O s 4 Z d X o A i t v 7 R c a N h l D o 7 w r k q 7 + 9 A U S W U o 4 Z W J J w Q o 2 3 J m Z j 7 Q J w 2 t R + c k T Q O D Q Z j n 6 Y h 3 B f F A a 1 n I Z Z M 5 h t Q l V e q z d i L u k 0 p X m u T D u q y c n O V B q F J c I l x 0 3 B b f O h N x 4 u B y 8 P V H 1 B L A Q I U A x Q A A A g I A K u Y I V r B P l 7 o p A A A A P c A A A A S A A A A A A A A A A A A A A C k g Q A A A A B D b 2 5 m a W c v U G F j a 2 F n Z S 5 4 b W x Q S w E C F A M U A A A I C A C r m C F a M A u x Z X 6 8 A A A U E Q Y A E w A A A A A A A A A A A A A A p I H U A A A A R m 9 y b X V s Y X M v U 2 V j d G l v b j E u b V B L A Q I U A x Q A A A g I A K u Y I V p T c j g s m w A A A O E A A A A T A A A A A A A A A A A A A A C k g Y O 9 A A B b Q 2 9 u d G V u d F 9 U e X B l c 1 0 u e G 1 s U E s F B g A A A A A D A A M A w g A A A 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m r U A g A A A A A A S N Q C A O + 7 v z w / e G 1 s I H Z l c n N p b 2 4 9 I j E u M C I g Z W 5 j b 2 R p b m c 9 I n V 0 Z i 0 4 I j 8 + P E x v Y 2 F s U G F j a 2 F n Z U 1 l d G F k Y X R h R m l s Z S B 4 b W x u c z p 4 c 2 k 9 I m h 0 d H A 6 L y 9 3 d 3 c u d z M u b 3 J n L z I w M D E v W E 1 M U 2 N o Z W 1 h L W l u c 3 R h b m N l I i B 4 b W x u c z p 4 c 2 Q 9 I m h 0 d H A 6 L y 9 3 d 3 c u d z M u b 3 J n L z I w M D E v W E 1 M U 2 N o Z W 1 h I j 4 8 S X R l b X M + P E l 0 Z W 0 + P E l 0 Z W 1 M b 2 N h d G l v b j 4 8 S X R l b V R 5 c G U + R m 9 y b X V s Y T w v S X R l b V R 5 c G U + P E l 0 Z W 1 Q Y X R o P l N l Y 3 R p b 2 4 x L 0 Z T R D w v S X R l b V B h d G g + P C 9 J d G V t T G 9 j Y X R p b 2 4 + P F N 0 Y W J s Z U V u d H J p Z X M + P E V u d H J 5 I F R 5 c G U 9 I k 5 h d m l n Y X R p b 2 5 T d G V w T m F t Z S I g V m F s d W U 9 I n N O Y X Z p Z 2 F 0 a W U i I C 8 + P E V u d H J 5 I F R 5 c G U 9 I k Z p b G x F b m F i b G V k I i B W Y W x 1 Z T 0 i b D E i I C 8 + P E V u d H J 5 I F R 5 c G U 9 I k Z p b G x l Z E N v b X B s Z X R l U m V z d W x 0 V G 9 X b 3 J r c 2 h l Z X Q i I F Z h b H V l P S J s M S I g L z 4 8 R W 5 0 c n k g V H l w Z T 0 i R m l s b F R v R G F 0 Y U 1 v Z G V s R W 5 h Y m x l Z C I g V m F s d W U 9 I m w w I i A v P j x F b n R y e S B U e X B l P S J J c 1 B y a X Z h d G U i I F Z h b H V l P S J s M C I g L z 4 8 R W 5 0 c n k g V H l w Z T 0 i U X V l c n l J R C I g V m F s d W U 9 I n N l Y z M 3 Y T g w Y i 1 l N 2 M 5 L T R k N z Y t O T k z Z C 0 w Z D V l Y j Y 0 N T g z N G Y i I C 8 + P E V u d H J 5 I F R 5 c G U 9 I l J l Y 2 9 2 Z X J 5 V G F y Z 2 V 0 Q 2 9 s d W 1 u I i B W Y W x 1 Z T 0 i b D E i I C 8 + P E V u d H J 5 I F R 5 c G U 9 I l J l Y 2 9 2 Z X J 5 V G F y Z 2 V 0 U 2 h l Z X Q i I F Z h b H V l P S J z R l N E I i A v P j x F b n R y e S B U e X B l P S J S Z W N v d m V y e V R h c m d l d F J v d y I g V m F s d W U 9 I m w 2 I i A v P j x F b n R y e S B U e X B l P S J O Y W 1 l V X B k Y X R l Z E F m d G V y R m l s b C I g V m F s d W U 9 I m w w I i A v P j x F b n R y e S B U e X B l P S J C d W Z m Z X J O Z X h 0 U m V m c m V z a C I g V m F s d W U 9 I m w x I i A v P j x F b n R y e S B U e X B l P S J G a W x s T 2 J q Z W N 0 V H l w Z S I g V m F s d W U 9 I n N U Y W J s Z S I g L z 4 8 R W 5 0 c n k g V H l w Z T 0 i U m V z d W x 0 V H l w Z S I g V m F s d W U 9 I n N U Y W J s Z S I g L z 4 8 R W 5 0 c n k g V H l w Z T 0 i R m l s b F R h c m d l d C I g V m F s d W U 9 I n N G U 0 Q i I C 8 + P E V u d H J 5 I F R 5 c G U 9 I k x v Y W R U b 1 J l c G 9 y d E R p c 2 F i b G V k I i B W Y W x 1 Z T 0 i b D A i I C 8 + P E V u d H J 5 I F R 5 c G U 9 I k Z p b G x M Y X N 0 V X B k Y X R l Z C I g V m F s d W U 9 I m Q y M D I 1 L T A x L T A x V D E x O j I 3 O j Q z L j g 0 M D I 1 N z B a I i A v P j x F b n R y e S B U e X B l P S J G a W x s Q 2 9 s d W 1 u V H l w Z X M i I F Z h b H V l P S J z Q m d Z R 0 J n W U d C Z 1 l E Q X d N R E F 3 T U R B d 1 l H Q m d N R E F 3 T U R B d 1 l H Q X d N R E F 3 T U R B d 0 1 E Q m d Z R E J n T U d B d 1 l E Q m d N R E F 3 T U d C Z 1 l E Q n d j R 0 J n W U d C Z 1 l E Q m d Z R 0 J n W U d B d 1 l H Q m d Z R C I g L z 4 8 R W 5 0 c n k g V H l w Z T 0 i R m l s b E V y c m 9 y Q 2 9 1 b n Q i I F Z h b H V l P S J s M S I g L z 4 8 R W 5 0 c n k g V H l w Z T 0 i R m l s b E N v b H V t b k 5 h b W V z I i B W Y W x 1 Z T 0 i c 1 s m c X V v d D t L c m l u Z 2 R h Z y Z x d W 9 0 O y w m c X V v d D t W Z X I u b n I m c X V v d D s s J n F 1 b 3 Q 7 T m F h b S B 2 Z X J l b m l n a W 5 n J n F 1 b 3 Q 7 L C Z x d W 9 0 O 0 R l b G V n Y X R p Z S Z x d W 9 0 O y w m c X V v d D t N d X p p Z W t r b 3 J w c y B i a W o g b W F y c y B l b i B k Z W Z p b F x 1 M D B F O S Z x d W 9 0 O y w m c X V v d D t E Z W V s b i 4 g a m V 1 Z 2 R r b 2 5 p b m d z Y 2 h p Z X R l b i Z x d W 9 0 O y w m c X V v d D t N Y W o u I F N l b m l v c m V u I G p 1 c m V y Z W 4 g Y m l q I G 1 h c n M m c X V v d D s s J n F 1 b 3 Q 7 T W F q L i B K Z X V n Z C B q d X J l c m V u I G J p a i B t Y X J z J n F 1 b 3 Q 7 L C Z x d W 9 0 O 0 t v c n B z I H N l b m l v c m V u J n F 1 b 3 Q 7 L C Z x d W 9 0 O 0 p 1 b m l v c m V u I G t v c n B z I D E m c X V v d D s s J n F 1 b 3 Q 7 S n V u a W 9 y Z W 4 g a 2 9 y c H M g M i Z x d W 9 0 O y w m c X V v d D t B c 3 B p c m F u d G V u I G t v c n B z I D E m c X V v d D s s J n F 1 b 3 Q 7 Q X N w a X J h b n R l b i B r b 3 J w c y A y J n F 1 b 3 Q 7 L C Z x d W 9 0 O 0 F j c m 9 i Y X R p c 2 N o I H N l b m l v c m V u J n F 1 b 3 Q 7 L C Z x d W 9 0 O 0 F j c m 9 i Y X R p c 2 N o I G p 1 b m l v c m V u J n F 1 b 3 Q 7 L C Z x d W 9 0 O 0 F j c m 9 i Y X R p c 2 N o I G F z c G l y Y W 5 0 Z W 4 m c X V v d D s s J n F 1 b 3 Q 7 U 2 h v d y B z Z W 5 p b 3 J l b i Z x d W 9 0 O y w m c X V v d D t T a G 9 3 I G p 1 b m l v c m V u J n F 1 b 3 Q 7 L C Z x d W 9 0 O 1 N o b 3 c g Y X N w a X J h b n R l b i Z x d W 9 0 O y w m c X V v d D t T Z W 5 p b 3 J l b i B p b m R p d i 4 m c X V v d D s s J n F 1 b 3 Q 7 S n V u a W 9 y Z W 4 g a W 5 k a X Y u J n F 1 b 3 Q 7 L C Z x d W 9 0 O 0 F z c G l y Y W 5 0 Z W 4 g a W 5 k a X Y u J n F 1 b 3 Q 7 L C Z x d W 9 0 O 1 N l b i 4 g a W 5 k I G 9 w Z 2 V n Z X Z l b i B u Y W 1 l b i Z x d W 9 0 O y w m c X V v d D t K d W 4 u I G l u Z C B v c G d l Z 2 V 2 Z W 4 g b m F t Z W 4 m c X V v d D s s J n F 1 b 3 Q 7 Q X N w L i B p b m Q g b 3 B n Z W d l d m V u I G 5 h b W V u J n F 1 b 3 Q 7 L C Z x d W 9 0 O 0 h v b 2 Z k a 2 9 y c H M m c X V v d D s s J n F 1 b 3 Q 7 M m U g a 2 9 y c H M m c X V v d D s s J n F 1 b 3 Q 7 R 3 J v Z X B l b i w g d G V h b X M s I G V u c 2 V t Y m x l c y B l b i B k d W 9 c d T A w M j d z J n F 1 b 3 Q 7 L C Z x d W 9 0 O 1 N l b m l v c m V u J n F 1 b 3 Q 7 L C Z x d W 9 0 O 0 p v b m c g d m 9 s d 2 F z c 2 V u Z S Z x d W 9 0 O y w m c X V v d D t K d W 5 p b 3 J l b i Z x d W 9 0 O y w m c X V v d D t B c 3 B p c m F u d G V u J n F 1 b 3 Q 7 L C Z x d W 9 0 O 0 9 w Z 2 V n Z X Z l b i B z Z W 5 p b 3 J l b i Z x d W 9 0 O y w m c X V v d D t P c G d l Z 2 V 2 Z W 4 g a m 9 u Z y B 2 b 2 x 3 Y X N z Z W 5 l J n F 1 b 3 Q 7 L C Z x d W 9 0 O 0 9 w Z 2 V n Z X Z l b i B q d W 5 p b 3 J l b i Z x d W 9 0 O y w m c X V v d D t P c G d l Z 2 V 2 Z W 4 g Y X N w a X J h b n R l b i Z x d W 9 0 O y w m c X V v d D t N Y X J r Z X R l b n R z d G V y c y Z x d W 9 0 O y w m c X V v d D t M d W N o d G d l d 2 V l c i Z x d W 9 0 O y w m c X V v d D t B Y W 5 0 Y W w g b H V j a H R n Z X d l Z X J z Y 2 h 1 d H R l c n M m c X V v d D s s J n F 1 b 3 Q 7 T H V j a H R w a X N 0 b 2 9 s J n F 1 b 3 Q 7 L C Z x d W 9 0 O 0 F h b n R h b C B s d W N o d H B p c 3 R v b 2 x z Y 2 h 1 d H R l c n M m c X V v d D s s J n F 1 b 3 Q 7 S G F u Z G J v b 2 c m c X V v d D s s J n F 1 b 3 Q 7 Q W F u d G F s I G h h b m R i b 2 9 n c 2 N o d X R 0 Z X J z J n F 1 b 3 Q 7 L C Z x d W 9 0 O 0 t y d W l z Y m 9 v Z y Z x d W 9 0 O y w m c X V v d D t B Y W 5 0 Y W w g a 3 J 1 a X N i b 2 9 n c 2 N o d X R 0 Z X J z J n F 1 b 3 Q 7 L C Z x d W 9 0 O 0 x 1 Y 2 h 0 Z 2 V 3 Z W V y I G p l d W d k I G 5 p Z X Q g b 3 V k Z X I g Z G F u I D E 3 I G p h Y X I u J n F 1 b 3 Q 7 L C Z x d W 9 0 O 0 F h b n R h b C B r b 3 J w c 2 V u J n F 1 b 3 Q 7 L C Z x d W 9 0 O 0 9 w Z 2 V n Z X Z l b i B q Z X V n Z G t v c n B z Z W 4 g T E c m c X V v d D s s J n F 1 b 3 Q 7 V G 9 0 Y W F s I G F h b n R h b C B k Z W V s b m V t Z X J z J n F 1 b 3 Q 7 L C Z x d W 9 0 O 1 d h Y X J 2 Y W 4 g Y W F u d G F s I G p l d W d k I C h 0 L 2 0 g M T U g a m F h c i k m c X V v d D s s J n F 1 b 3 Q 7 S 2 F u b 2 4 g Z X R j L i Z x d W 9 0 O y w m c X V v d D t Q Y W F y Z G V u I G V u L 2 9 m I G t v Z X R z Z W 4 m c X V v d D s s J n F 1 b 3 Q 7 V G 9 l b G l j a H R p b m c v b 3 B t Z X J r a W 5 n Z W 4 m c X V v d D s s J n F 1 b 3 Q 7 S W 5 6 Z W 5 k a W 5 n L U l E J n F 1 b 3 Q 7 L C Z x d W 9 0 O 0 l u e m V u Z G R h d H V t J n F 1 b 3 Q 7 L C Z x d W 9 0 O 0 R h d G U g V X B k Y X R l Z C Z x d W 9 0 O y w m c X V v d D t O Y W F t I H Z h b i B o Z X Q g a G 9 v Z m R r b 3 J w c y Z x d W 9 0 O y w m c X V v d D t a Y W w g b 3 A g d H J l Z G V u I G F s c y A o a G 9 v Z m R r b 3 J w c y k m c X V v d D s s J n F 1 b 3 Q 7 V m 9 y b S B 2 Y W 4 g d H d l Z S B t d X p p Z W t 3 Z X J r Z W 4 g K G h v b 2 Z k a 2 9 y c H M p J n F 1 b 3 Q 7 L C Z x d W 9 0 O 1 p h b C B 1 a X R r b 2 1 l b i B p b i B k Z T o g K G h v b 2 Z k a 2 9 y c H M p J n F 1 b 3 Q 7 L C Z x d W 9 0 O 0 1 1 e m l l a 3 d l c m s x I C h o b 2 9 m Z G t v c n B z K S Z x d W 9 0 O y w m c X V v d D t N d X p p Z W t 3 Z X J r M i A o a G 9 v Z m R r b 3 J w c y k m c X V v d D s s J n F 1 b 3 Q 7 S 2 9 y c H M g Y m V z d G F h d C B 1 a X Q g L i 4 u I G R l Z W x u Z W 1 l c n M g K G h v b 2 Z k a 2 9 y c H M p J n F 1 b 3 Q 7 L C Z x d W 9 0 O 0 5 h Y W 0 g d m F u I G h l d C A y Z S B r b 3 J w c y Z x d W 9 0 O y w m c X V v d D t a Y W w g b 3 A g d H J l Z G V u I G F s c y A o M m U g a 2 9 y c H M p J n F 1 b 3 Q 7 L C Z x d W 9 0 O 1 Z v c m 0 g d m F u I H R 3 Z W U g b X V 6 a W V r d 2 V y a 2 V u I C g y Z S B r b 3 J w c y k m c X V v d D s s J n F 1 b 3 Q 7 W m F s I H V p d G t v b W V u I G l u I G R l O i A o M m U g a 2 9 y c H M p J n F 1 b 3 Q 7 L C Z x d W 9 0 O 0 1 1 e m l l a 3 d l c m s x I C g y Z S B r b 3 J w c y k m c X V v d D s s J n F 1 b 3 Q 7 T X V 6 a W V r d 2 V y a z I g K D J l I G t v c n B z K S Z x d W 9 0 O y w m c X V v d D t L b 3 J w c y B i Z X N 0 Y W F 0 I H V p d C A u L i 4 g Z G V l b G 5 l b W V y c y A o M m U g a 2 9 y c H M p J n F 1 b 3 Q 7 L C Z x d W 9 0 O 0 1 l Y 2 h h b m l z Y 2 h l I G 1 1 e m l l a y Z x d W 9 0 O y w m c X V v d D t P b m R l c m R l b G V u J n F 1 b 3 Q 7 L C Z x d W 9 0 O 1 N l Y 3 R p Z X M m c X V v d D s s J n F 1 b 3 Q 7 T G V l Z n R p a m R z Y 2 F 0 Z W d v c m l l J n F 1 b 3 Q 7 L C Z x d W 9 0 O 0 F h b n R h b C B v c G d l Z 2 V 2 Z W 4 g b W F q b 3 J l d H R l c y Z x d W 9 0 O 1 0 i I C 8 + P E V u d H J 5 I F R 5 c G U 9 I k Z p b G x F c n J v c k N v Z G U i I F Z h b H V l P S J z V W 5 r b m 9 3 b i I g L z 4 8 R W 5 0 c n k g V H l w Z T 0 i R m l s b F N 0 Y X R 1 c y I g V m F s d W U 9 I n N D b 2 1 w b G V 0 Z S I g L z 4 8 R W 5 0 c n k g V H l w Z T 0 i R m l s b E N v d W 5 0 I i B W Y W x 1 Z T 0 i b D Q x I i A v P j x F b n R y e S B U e X B l P S J S Z W x h d G l v b n N o a X B J b m Z v Q 2 9 u d G F p b m V y I i B W Y W x 1 Z T 0 i c 3 s m c X V v d D t j b 2 x 1 b W 5 D b 3 V u d C Z x d W 9 0 O z o 3 N S w m c X V v d D t r Z X l D b 2 x 1 b W 5 O Y W 1 l c y Z x d W 9 0 O z p b X S w m c X V v d D t x d W V y e V J l b G F 0 a W 9 u c 2 h p c H M m c X V v d D s 6 W 1 0 s J n F 1 b 3 Q 7 Y 2 9 s d W 1 u S W R l b n R p d G l l c y Z x d W 9 0 O z p b J n F 1 b 3 Q 7 U 2 V j d G l v b j E v R l N E L 0 F 1 d G 9 S Z W 1 v d m V k Q 2 9 s d W 1 u c z E u e 0 t y a W 5 n Z G F n L D B 9 J n F 1 b 3 Q 7 L C Z x d W 9 0 O 1 N l Y 3 R p b 2 4 x L 0 Z T R C 9 B d X R v U m V t b 3 Z l Z E N v b H V t b n M x L n t W Z X I u b n I s M X 0 m c X V v d D s s J n F 1 b 3 Q 7 U 2 V j d G l v b j E v R l N E L 0 F 1 d G 9 S Z W 1 v d m V k Q 2 9 s d W 1 u c z E u e 0 5 h Y W 0 g d m V y Z W 5 p Z 2 l u Z y w y f S Z x d W 9 0 O y w m c X V v d D t T Z W N 0 a W 9 u M S 9 G U 0 Q v Q X V 0 b 1 J l b W 9 2 Z W R D b 2 x 1 b W 5 z M S 5 7 R G V s Z W d h d G l l L D N 9 J n F 1 b 3 Q 7 L C Z x d W 9 0 O 1 N l Y 3 R p b 2 4 x L 0 Z T R C 9 B d X R v U m V t b 3 Z l Z E N v b H V t b n M x L n t N d X p p Z W t r b 3 J w c y B i a W o g b W F y c y B l b i B k Z W Z p b F x 1 M D B F O S w 0 f S Z x d W 9 0 O y w m c X V v d D t T Z W N 0 a W 9 u M S 9 G U 0 Q v Q X V 0 b 1 J l b W 9 2 Z W R D b 2 x 1 b W 5 z M S 5 7 R G V l b G 4 u I G p l d W d k a 2 9 u a W 5 n c 2 N o a W V 0 Z W 4 s N X 0 m c X V v d D s s J n F 1 b 3 Q 7 U 2 V j d G l v b j E v R l N E L 0 F 1 d G 9 S Z W 1 v d m V k Q 2 9 s d W 1 u c z E u e 0 1 h a i 4 g U 2 V u a W 9 y Z W 4 g a n V y Z X J l b i B i a W o g b W F y c y w 2 f S Z x d W 9 0 O y w m c X V v d D t T Z W N 0 a W 9 u M S 9 G U 0 Q v Q X V 0 b 1 J l b W 9 2 Z W R D b 2 x 1 b W 5 z M S 5 7 T W F q L i B K Z X V n Z C B q d X J l c m V u I G J p a i B t Y X J z L D d 9 J n F 1 b 3 Q 7 L C Z x d W 9 0 O 1 N l Y 3 R p b 2 4 x L 0 Z T R C 9 B d X R v U m V t b 3 Z l Z E N v b H V t b n M x L n t L b 3 J w c y B z Z W 5 p b 3 J l b i w 4 f S Z x d W 9 0 O y w m c X V v d D t T Z W N 0 a W 9 u M S 9 G U 0 Q v Q X V 0 b 1 J l b W 9 2 Z W R D b 2 x 1 b W 5 z M S 5 7 S n V u a W 9 y Z W 4 g a 2 9 y c H M g M S w 5 f S Z x d W 9 0 O y w m c X V v d D t T Z W N 0 a W 9 u M S 9 G U 0 Q v Q X V 0 b 1 J l b W 9 2 Z W R D b 2 x 1 b W 5 z M S 5 7 S n V u a W 9 y Z W 4 g a 2 9 y c H M g M i w x M H 0 m c X V v d D s s J n F 1 b 3 Q 7 U 2 V j d G l v b j E v R l N E L 0 F 1 d G 9 S Z W 1 v d m V k Q 2 9 s d W 1 u c z E u e 0 F z c G l y Y W 5 0 Z W 4 g a 2 9 y c H M g M S w x M X 0 m c X V v d D s s J n F 1 b 3 Q 7 U 2 V j d G l v b j E v R l N E L 0 F 1 d G 9 S Z W 1 v d m V k Q 2 9 s d W 1 u c z E u e 0 F z c G l y Y W 5 0 Z W 4 g a 2 9 y c H M g M i w x M n 0 m c X V v d D s s J n F 1 b 3 Q 7 U 2 V j d G l v b j E v R l N E L 0 F 1 d G 9 S Z W 1 v d m V k Q 2 9 s d W 1 u c z E u e 0 F j c m 9 i Y X R p c 2 N o I H N l b m l v c m V u L D E z f S Z x d W 9 0 O y w m c X V v d D t T Z W N 0 a W 9 u M S 9 G U 0 Q v Q X V 0 b 1 J l b W 9 2 Z W R D b 2 x 1 b W 5 z M S 5 7 Q W N y b 2 J h d G l z Y 2 g g a n V u a W 9 y Z W 4 s M T R 9 J n F 1 b 3 Q 7 L C Z x d W 9 0 O 1 N l Y 3 R p b 2 4 x L 0 Z T R C 9 B d X R v U m V t b 3 Z l Z E N v b H V t b n M x L n t B Y 3 J v Y m F 0 a X N j a C B h c 3 B p c m F u d G V u L D E 1 f S Z x d W 9 0 O y w m c X V v d D t T Z W N 0 a W 9 u M S 9 G U 0 Q v Q X V 0 b 1 J l b W 9 2 Z W R D b 2 x 1 b W 5 z M S 5 7 U 2 h v d y B z Z W 5 p b 3 J l b i w x N n 0 m c X V v d D s s J n F 1 b 3 Q 7 U 2 V j d G l v b j E v R l N E L 0 F 1 d G 9 S Z W 1 v d m V k Q 2 9 s d W 1 u c z E u e 1 N o b 3 c g a n V u a W 9 y Z W 4 s M T d 9 J n F 1 b 3 Q 7 L C Z x d W 9 0 O 1 N l Y 3 R p b 2 4 x L 0 Z T R C 9 B d X R v U m V t b 3 Z l Z E N v b H V t b n M x L n t T a G 9 3 I G F z c G l y Y W 5 0 Z W 4 s M T h 9 J n F 1 b 3 Q 7 L C Z x d W 9 0 O 1 N l Y 3 R p b 2 4 x L 0 Z T R C 9 B d X R v U m V t b 3 Z l Z E N v b H V t b n M x L n t T Z W 5 p b 3 J l b i B p b m R p d i 4 s M T l 9 J n F 1 b 3 Q 7 L C Z x d W 9 0 O 1 N l Y 3 R p b 2 4 x L 0 Z T R C 9 B d X R v U m V t b 3 Z l Z E N v b H V t b n M x L n t K d W 5 p b 3 J l b i B p b m R p d i 4 s M j B 9 J n F 1 b 3 Q 7 L C Z x d W 9 0 O 1 N l Y 3 R p b 2 4 x L 0 Z T R C 9 B d X R v U m V t b 3 Z l Z E N v b H V t b n M x L n t B c 3 B p c m F u d G V u I G l u Z G l 2 L i w y M X 0 m c X V v d D s s J n F 1 b 3 Q 7 U 2 V j d G l v b j E v R l N E L 0 F 1 d G 9 S Z W 1 v d m V k Q 2 9 s d W 1 u c z E u e 1 N l b i 4 g a W 5 k I G 9 w Z 2 V n Z X Z l b i B u Y W 1 l b i w y M n 0 m c X V v d D s s J n F 1 b 3 Q 7 U 2 V j d G l v b j E v R l N E L 0 F 1 d G 9 S Z W 1 v d m V k Q 2 9 s d W 1 u c z E u e 0 p 1 b i 4 g a W 5 k I G 9 w Z 2 V n Z X Z l b i B u Y W 1 l b i w y M 3 0 m c X V v d D s s J n F 1 b 3 Q 7 U 2 V j d G l v b j E v R l N E L 0 F 1 d G 9 S Z W 1 v d m V k Q 2 9 s d W 1 u c z E u e 0 F z c C 4 g a W 5 k I G 9 w Z 2 V n Z X Z l b i B u Y W 1 l b i w y N H 0 m c X V v d D s s J n F 1 b 3 Q 7 U 2 V j d G l v b j E v R l N E L 0 F 1 d G 9 S Z W 1 v d m V k Q 2 9 s d W 1 u c z E u e 0 h v b 2 Z k a 2 9 y c H M s M j V 9 J n F 1 b 3 Q 7 L C Z x d W 9 0 O 1 N l Y 3 R p b 2 4 x L 0 Z T R C 9 B d X R v U m V t b 3 Z l Z E N v b H V t b n M x L n s y Z S B r b 3 J w c y w y N n 0 m c X V v d D s s J n F 1 b 3 Q 7 U 2 V j d G l v b j E v R l N E L 0 F 1 d G 9 S Z W 1 v d m V k Q 2 9 s d W 1 u c z E u e 0 d y b 2 V w Z W 4 s I H R l Y W 1 z L C B l b n N l b W J s Z X M g Z W 4 g Z H V v X H U w M D I 3 c y w y N 3 0 m c X V v d D s s J n F 1 b 3 Q 7 U 2 V j d G l v b j E v R l N E L 0 F 1 d G 9 S Z W 1 v d m V k Q 2 9 s d W 1 u c z E u e 1 N l b m l v c m V u L D I 4 f S Z x d W 9 0 O y w m c X V v d D t T Z W N 0 a W 9 u M S 9 G U 0 Q v Q X V 0 b 1 J l b W 9 2 Z W R D b 2 x 1 b W 5 z M S 5 7 S m 9 u Z y B 2 b 2 x 3 Y X N z Z W 5 l L D I 5 f S Z x d W 9 0 O y w m c X V v d D t T Z W N 0 a W 9 u M S 9 G U 0 Q v Q X V 0 b 1 J l b W 9 2 Z W R D b 2 x 1 b W 5 z M S 5 7 S n V u a W 9 y Z W 4 s M z B 9 J n F 1 b 3 Q 7 L C Z x d W 9 0 O 1 N l Y 3 R p b 2 4 x L 0 Z T R C 9 B d X R v U m V t b 3 Z l Z E N v b H V t b n M x L n t B c 3 B p c m F u d G V u L D M x f S Z x d W 9 0 O y w m c X V v d D t T Z W N 0 a W 9 u M S 9 G U 0 Q v Q X V 0 b 1 J l b W 9 2 Z W R D b 2 x 1 b W 5 z M S 5 7 T 3 B n Z W d l d m V u I H N l b m l v c m V u L D M y f S Z x d W 9 0 O y w m c X V v d D t T Z W N 0 a W 9 u M S 9 G U 0 Q v Q X V 0 b 1 J l b W 9 2 Z W R D b 2 x 1 b W 5 z M S 5 7 T 3 B n Z W d l d m V u I G p v b m c g d m 9 s d 2 F z c 2 V u Z S w z M 3 0 m c X V v d D s s J n F 1 b 3 Q 7 U 2 V j d G l v b j E v R l N E L 0 F 1 d G 9 S Z W 1 v d m V k Q 2 9 s d W 1 u c z E u e 0 9 w Z 2 V n Z X Z l b i B q d W 5 p b 3 J l b i w z N H 0 m c X V v d D s s J n F 1 b 3 Q 7 U 2 V j d G l v b j E v R l N E L 0 F 1 d G 9 S Z W 1 v d m V k Q 2 9 s d W 1 u c z E u e 0 9 w Z 2 V n Z X Z l b i B h c 3 B p c m F u d G V u L D M 1 f S Z x d W 9 0 O y w m c X V v d D t T Z W N 0 a W 9 u M S 9 G U 0 Q v Q X V 0 b 1 J l b W 9 2 Z W R D b 2 x 1 b W 5 z M S 5 7 T W F y a 2 V 0 Z W 5 0 c 3 R l c n M s M z Z 9 J n F 1 b 3 Q 7 L C Z x d W 9 0 O 1 N l Y 3 R p b 2 4 x L 0 Z T R C 9 B d X R v U m V t b 3 Z l Z E N v b H V t b n M x L n t M d W N o d G d l d 2 V l c i w z N 3 0 m c X V v d D s s J n F 1 b 3 Q 7 U 2 V j d G l v b j E v R l N E L 0 F 1 d G 9 S Z W 1 v d m V k Q 2 9 s d W 1 u c z E u e 0 F h b n R h b C B s d W N o d G d l d 2 V l c n N j a H V 0 d G V y c y w z O H 0 m c X V v d D s s J n F 1 b 3 Q 7 U 2 V j d G l v b j E v R l N E L 0 F 1 d G 9 S Z W 1 v d m V k Q 2 9 s d W 1 u c z E u e 0 x 1 Y 2 h 0 c G l z d G 9 v b C w z O X 0 m c X V v d D s s J n F 1 b 3 Q 7 U 2 V j d G l v b j E v R l N E L 0 F 1 d G 9 S Z W 1 v d m V k Q 2 9 s d W 1 u c z E u e 0 F h b n R h b C B s d W N o d H B p c 3 R v b 2 x z Y 2 h 1 d H R l c n M s N D B 9 J n F 1 b 3 Q 7 L C Z x d W 9 0 O 1 N l Y 3 R p b 2 4 x L 0 Z T R C 9 B d X R v U m V t b 3 Z l Z E N v b H V t b n M x L n t I Y W 5 k Y m 9 v Z y w 0 M X 0 m c X V v d D s s J n F 1 b 3 Q 7 U 2 V j d G l v b j E v R l N E L 0 F 1 d G 9 S Z W 1 v d m V k Q 2 9 s d W 1 u c z E u e 0 F h b n R h b C B o Y W 5 k Y m 9 v Z 3 N j a H V 0 d G V y c y w 0 M n 0 m c X V v d D s s J n F 1 b 3 Q 7 U 2 V j d G l v b j E v R l N E L 0 F 1 d G 9 S Z W 1 v d m V k Q 2 9 s d W 1 u c z E u e 0 t y d W l z Y m 9 v Z y w 0 M 3 0 m c X V v d D s s J n F 1 b 3 Q 7 U 2 V j d G l v b j E v R l N E L 0 F 1 d G 9 S Z W 1 v d m V k Q 2 9 s d W 1 u c z E u e 0 F h b n R h b C B r c n V p c 2 J v b 2 d z Y 2 h 1 d H R l c n M s N D R 9 J n F 1 b 3 Q 7 L C Z x d W 9 0 O 1 N l Y 3 R p b 2 4 x L 0 Z T R C 9 B d X R v U m V t b 3 Z l Z E N v b H V t b n M x L n t M d W N o d G d l d 2 V l c i B q Z X V n Z C B u a W V 0 I G 9 1 Z G V y I G R h b i A x N y B q Y W F y L i w 0 N X 0 m c X V v d D s s J n F 1 b 3 Q 7 U 2 V j d G l v b j E v R l N E L 0 F 1 d G 9 S Z W 1 v d m V k Q 2 9 s d W 1 u c z E u e 0 F h b n R h b C B r b 3 J w c 2 V u L D Q 2 f S Z x d W 9 0 O y w m c X V v d D t T Z W N 0 a W 9 u M S 9 G U 0 Q v Q X V 0 b 1 J l b W 9 2 Z W R D b 2 x 1 b W 5 z M S 5 7 T 3 B n Z W d l d m V u I G p l d W d k a 2 9 y c H N l b i B M R y w 0 N 3 0 m c X V v d D s s J n F 1 b 3 Q 7 U 2 V j d G l v b j E v R l N E L 0 F 1 d G 9 S Z W 1 v d m V k Q 2 9 s d W 1 u c z E u e 1 R v d G F h b C B h Y W 5 0 Y W w g Z G V l b G 5 l b W V y c y w 0 O H 0 m c X V v d D s s J n F 1 b 3 Q 7 U 2 V j d G l v b j E v R l N E L 0 F 1 d G 9 S Z W 1 v d m V k Q 2 9 s d W 1 u c z E u e 1 d h Y X J 2 Y W 4 g Y W F u d G F s I G p l d W d k I C h 0 L 2 0 g M T U g a m F h c i k s N D l 9 J n F 1 b 3 Q 7 L C Z x d W 9 0 O 1 N l Y 3 R p b 2 4 x L 0 Z T R C 9 B d X R v U m V t b 3 Z l Z E N v b H V t b n M x L n t L Y W 5 v b i B l d G M u L D U w f S Z x d W 9 0 O y w m c X V v d D t T Z W N 0 a W 9 u M S 9 G U 0 Q v Q X V 0 b 1 J l b W 9 2 Z W R D b 2 x 1 b W 5 z M S 5 7 U G F h c m R l b i B l b i 9 v Z i B r b 2 V 0 c 2 V u L D U x f S Z x d W 9 0 O y w m c X V v d D t T Z W N 0 a W 9 u M S 9 G U 0 Q v Q X V 0 b 1 J l b W 9 2 Z W R D b 2 x 1 b W 5 z M S 5 7 V G 9 l b G l j a H R p b m c v b 3 B t Z X J r a W 5 n Z W 4 s N T J 9 J n F 1 b 3 Q 7 L C Z x d W 9 0 O 1 N l Y 3 R p b 2 4 x L 0 Z T R C 9 B d X R v U m V t b 3 Z l Z E N v b H V t b n M x L n t J b n p l b m R p b m c t S U Q s N T N 9 J n F 1 b 3 Q 7 L C Z x d W 9 0 O 1 N l Y 3 R p b 2 4 x L 0 Z T R C 9 B d X R v U m V t b 3 Z l Z E N v b H V t b n M x L n t J b n p l b m R k Y X R 1 b S w 1 N H 0 m c X V v d D s s J n F 1 b 3 Q 7 U 2 V j d G l v b j E v R l N E L 0 F 1 d G 9 S Z W 1 v d m V k Q 2 9 s d W 1 u c z E u e 0 R h d G U g V X B k Y X R l Z C w 1 N X 0 m c X V v d D s s J n F 1 b 3 Q 7 U 2 V j d G l v b j E v R l N E L 0 F 1 d G 9 S Z W 1 v d m V k Q 2 9 s d W 1 u c z E u e 0 5 h Y W 0 g d m F u I G h l d C B o b 2 9 m Z G t v c n B z L D U 2 f S Z x d W 9 0 O y w m c X V v d D t T Z W N 0 a W 9 u M S 9 G U 0 Q v Q X V 0 b 1 J l b W 9 2 Z W R D b 2 x 1 b W 5 z M S 5 7 W m F s I G 9 w I H R y Z W R l b i B h b H M g K G h v b 2 Z k a 2 9 y c H M p L D U 3 f S Z x d W 9 0 O y w m c X V v d D t T Z W N 0 a W 9 u M S 9 G U 0 Q v Q X V 0 b 1 J l b W 9 2 Z W R D b 2 x 1 b W 5 z M S 5 7 V m 9 y b S B 2 Y W 4 g d H d l Z S B t d X p p Z W t 3 Z X J r Z W 4 g K G h v b 2 Z k a 2 9 y c H M p L D U 4 f S Z x d W 9 0 O y w m c X V v d D t T Z W N 0 a W 9 u M S 9 G U 0 Q v Q X V 0 b 1 J l b W 9 2 Z W R D b 2 x 1 b W 5 z M S 5 7 W m F s I H V p d G t v b W V u I G l u I G R l O i A o a G 9 v Z m R r b 3 J w c y k s N T l 9 J n F 1 b 3 Q 7 L C Z x d W 9 0 O 1 N l Y 3 R p b 2 4 x L 0 Z T R C 9 B d X R v U m V t b 3 Z l Z E N v b H V t b n M x L n t N d X p p Z W t 3 Z X J r M S A o a G 9 v Z m R r b 3 J w c y k s N j B 9 J n F 1 b 3 Q 7 L C Z x d W 9 0 O 1 N l Y 3 R p b 2 4 x L 0 Z T R C 9 B d X R v U m V t b 3 Z l Z E N v b H V t b n M x L n t N d X p p Z W t 3 Z X J r M i A o a G 9 v Z m R r b 3 J w c y k s N j F 9 J n F 1 b 3 Q 7 L C Z x d W 9 0 O 1 N l Y 3 R p b 2 4 x L 0 Z T R C 9 B d X R v U m V t b 3 Z l Z E N v b H V t b n M x L n t L b 3 J w c y B i Z X N 0 Y W F 0 I H V p d C A u L i 4 g Z G V l b G 5 l b W V y c y A o a G 9 v Z m R r b 3 J w c y k s N j J 9 J n F 1 b 3 Q 7 L C Z x d W 9 0 O 1 N l Y 3 R p b 2 4 x L 0 Z T R C 9 B d X R v U m V t b 3 Z l Z E N v b H V t b n M x L n t O Y W F t I H Z h b i B o Z X Q g M m U g a 2 9 y c H M s N j N 9 J n F 1 b 3 Q 7 L C Z x d W 9 0 O 1 N l Y 3 R p b 2 4 x L 0 Z T R C 9 B d X R v U m V t b 3 Z l Z E N v b H V t b n M x L n t a Y W w g b 3 A g d H J l Z G V u I G F s c y A o M m U g a 2 9 y c H M p L D Y 0 f S Z x d W 9 0 O y w m c X V v d D t T Z W N 0 a W 9 u M S 9 G U 0 Q v Q X V 0 b 1 J l b W 9 2 Z W R D b 2 x 1 b W 5 z M S 5 7 V m 9 y b S B 2 Y W 4 g d H d l Z S B t d X p p Z W t 3 Z X J r Z W 4 g K D J l I G t v c n B z K S w 2 N X 0 m c X V v d D s s J n F 1 b 3 Q 7 U 2 V j d G l v b j E v R l N E L 0 F 1 d G 9 S Z W 1 v d m V k Q 2 9 s d W 1 u c z E u e 1 p h b C B 1 a X R r b 2 1 l b i B p b i B k Z T o g K D J l I G t v c n B z K S w 2 N n 0 m c X V v d D s s J n F 1 b 3 Q 7 U 2 V j d G l v b j E v R l N E L 0 F 1 d G 9 S Z W 1 v d m V k Q 2 9 s d W 1 u c z E u e 0 1 1 e m l l a 3 d l c m s x I C g y Z S B r b 3 J w c y k s N j d 9 J n F 1 b 3 Q 7 L C Z x d W 9 0 O 1 N l Y 3 R p b 2 4 x L 0 Z T R C 9 B d X R v U m V t b 3 Z l Z E N v b H V t b n M x L n t N d X p p Z W t 3 Z X J r M i A o M m U g a 2 9 y c H M p L D Y 4 f S Z x d W 9 0 O y w m c X V v d D t T Z W N 0 a W 9 u M S 9 G U 0 Q v Q X V 0 b 1 J l b W 9 2 Z W R D b 2 x 1 b W 5 z M S 5 7 S 2 9 y c H M g Y m V z d G F h d C B 1 a X Q g L i 4 u I G R l Z W x u Z W 1 l c n M g K D J l I G t v c n B z K S w 2 O X 0 m c X V v d D s s J n F 1 b 3 Q 7 U 2 V j d G l v b j E v R l N E L 0 F 1 d G 9 S Z W 1 v d m V k Q 2 9 s d W 1 u c z E u e 0 1 l Y 2 h h b m l z Y 2 h l I G 1 1 e m l l a y w 3 M H 0 m c X V v d D s s J n F 1 b 3 Q 7 U 2 V j d G l v b j E v R l N E L 0 F 1 d G 9 S Z W 1 v d m V k Q 2 9 s d W 1 u c z E u e 0 9 u Z G V y Z G V s Z W 4 s N z F 9 J n F 1 b 3 Q 7 L C Z x d W 9 0 O 1 N l Y 3 R p b 2 4 x L 0 Z T R C 9 B d X R v U m V t b 3 Z l Z E N v b H V t b n M x L n t T Z W N 0 a W V z L D c y f S Z x d W 9 0 O y w m c X V v d D t T Z W N 0 a W 9 u M S 9 G U 0 Q v Q X V 0 b 1 J l b W 9 2 Z W R D b 2 x 1 b W 5 z M S 5 7 T G V l Z n R p a m R z Y 2 F 0 Z W d v c m l l L D c z f S Z x d W 9 0 O y w m c X V v d D t T Z W N 0 a W 9 u M S 9 G U 0 Q v Q X V 0 b 1 J l b W 9 2 Z W R D b 2 x 1 b W 5 z M S 5 7 Q W F u d G F s I G 9 w Z 2 V n Z X Z l b i B t Y W p v c m V 0 d G V z L D c 0 f S Z x d W 9 0 O 1 0 s J n F 1 b 3 Q 7 Q 2 9 s d W 1 u Q 2 9 1 b n Q m c X V v d D s 6 N z U s J n F 1 b 3 Q 7 S 2 V 5 Q 2 9 s d W 1 u T m F t Z X M m c X V v d D s 6 W 1 0 s J n F 1 b 3 Q 7 Q 2 9 s d W 1 u S W R l b n R p d G l l c y Z x d W 9 0 O z p b J n F 1 b 3 Q 7 U 2 V j d G l v b j E v R l N E L 0 F 1 d G 9 S Z W 1 v d m V k Q 2 9 s d W 1 u c z E u e 0 t y a W 5 n Z G F n L D B 9 J n F 1 b 3 Q 7 L C Z x d W 9 0 O 1 N l Y 3 R p b 2 4 x L 0 Z T R C 9 B d X R v U m V t b 3 Z l Z E N v b H V t b n M x L n t W Z X I u b n I s M X 0 m c X V v d D s s J n F 1 b 3 Q 7 U 2 V j d G l v b j E v R l N E L 0 F 1 d G 9 S Z W 1 v d m V k Q 2 9 s d W 1 u c z E u e 0 5 h Y W 0 g d m V y Z W 5 p Z 2 l u Z y w y f S Z x d W 9 0 O y w m c X V v d D t T Z W N 0 a W 9 u M S 9 G U 0 Q v Q X V 0 b 1 J l b W 9 2 Z W R D b 2 x 1 b W 5 z M S 5 7 R G V s Z W d h d G l l L D N 9 J n F 1 b 3 Q 7 L C Z x d W 9 0 O 1 N l Y 3 R p b 2 4 x L 0 Z T R C 9 B d X R v U m V t b 3 Z l Z E N v b H V t b n M x L n t N d X p p Z W t r b 3 J w c y B i a W o g b W F y c y B l b i B k Z W Z p b F x 1 M D B F O S w 0 f S Z x d W 9 0 O y w m c X V v d D t T Z W N 0 a W 9 u M S 9 G U 0 Q v Q X V 0 b 1 J l b W 9 2 Z W R D b 2 x 1 b W 5 z M S 5 7 R G V l b G 4 u I G p l d W d k a 2 9 u a W 5 n c 2 N o a W V 0 Z W 4 s N X 0 m c X V v d D s s J n F 1 b 3 Q 7 U 2 V j d G l v b j E v R l N E L 0 F 1 d G 9 S Z W 1 v d m V k Q 2 9 s d W 1 u c z E u e 0 1 h a i 4 g U 2 V u a W 9 y Z W 4 g a n V y Z X J l b i B i a W o g b W F y c y w 2 f S Z x d W 9 0 O y w m c X V v d D t T Z W N 0 a W 9 u M S 9 G U 0 Q v Q X V 0 b 1 J l b W 9 2 Z W R D b 2 x 1 b W 5 z M S 5 7 T W F q L i B K Z X V n Z C B q d X J l c m V u I G J p a i B t Y X J z L D d 9 J n F 1 b 3 Q 7 L C Z x d W 9 0 O 1 N l Y 3 R p b 2 4 x L 0 Z T R C 9 B d X R v U m V t b 3 Z l Z E N v b H V t b n M x L n t L b 3 J w c y B z Z W 5 p b 3 J l b i w 4 f S Z x d W 9 0 O y w m c X V v d D t T Z W N 0 a W 9 u M S 9 G U 0 Q v Q X V 0 b 1 J l b W 9 2 Z W R D b 2 x 1 b W 5 z M S 5 7 S n V u a W 9 y Z W 4 g a 2 9 y c H M g M S w 5 f S Z x d W 9 0 O y w m c X V v d D t T Z W N 0 a W 9 u M S 9 G U 0 Q v Q X V 0 b 1 J l b W 9 2 Z W R D b 2 x 1 b W 5 z M S 5 7 S n V u a W 9 y Z W 4 g a 2 9 y c H M g M i w x M H 0 m c X V v d D s s J n F 1 b 3 Q 7 U 2 V j d G l v b j E v R l N E L 0 F 1 d G 9 S Z W 1 v d m V k Q 2 9 s d W 1 u c z E u e 0 F z c G l y Y W 5 0 Z W 4 g a 2 9 y c H M g M S w x M X 0 m c X V v d D s s J n F 1 b 3 Q 7 U 2 V j d G l v b j E v R l N E L 0 F 1 d G 9 S Z W 1 v d m V k Q 2 9 s d W 1 u c z E u e 0 F z c G l y Y W 5 0 Z W 4 g a 2 9 y c H M g M i w x M n 0 m c X V v d D s s J n F 1 b 3 Q 7 U 2 V j d G l v b j E v R l N E L 0 F 1 d G 9 S Z W 1 v d m V k Q 2 9 s d W 1 u c z E u e 0 F j c m 9 i Y X R p c 2 N o I H N l b m l v c m V u L D E z f S Z x d W 9 0 O y w m c X V v d D t T Z W N 0 a W 9 u M S 9 G U 0 Q v Q X V 0 b 1 J l b W 9 2 Z W R D b 2 x 1 b W 5 z M S 5 7 Q W N y b 2 J h d G l z Y 2 g g a n V u a W 9 y Z W 4 s M T R 9 J n F 1 b 3 Q 7 L C Z x d W 9 0 O 1 N l Y 3 R p b 2 4 x L 0 Z T R C 9 B d X R v U m V t b 3 Z l Z E N v b H V t b n M x L n t B Y 3 J v Y m F 0 a X N j a C B h c 3 B p c m F u d G V u L D E 1 f S Z x d W 9 0 O y w m c X V v d D t T Z W N 0 a W 9 u M S 9 G U 0 Q v Q X V 0 b 1 J l b W 9 2 Z W R D b 2 x 1 b W 5 z M S 5 7 U 2 h v d y B z Z W 5 p b 3 J l b i w x N n 0 m c X V v d D s s J n F 1 b 3 Q 7 U 2 V j d G l v b j E v R l N E L 0 F 1 d G 9 S Z W 1 v d m V k Q 2 9 s d W 1 u c z E u e 1 N o b 3 c g a n V u a W 9 y Z W 4 s M T d 9 J n F 1 b 3 Q 7 L C Z x d W 9 0 O 1 N l Y 3 R p b 2 4 x L 0 Z T R C 9 B d X R v U m V t b 3 Z l Z E N v b H V t b n M x L n t T a G 9 3 I G F z c G l y Y W 5 0 Z W 4 s M T h 9 J n F 1 b 3 Q 7 L C Z x d W 9 0 O 1 N l Y 3 R p b 2 4 x L 0 Z T R C 9 B d X R v U m V t b 3 Z l Z E N v b H V t b n M x L n t T Z W 5 p b 3 J l b i B p b m R p d i 4 s M T l 9 J n F 1 b 3 Q 7 L C Z x d W 9 0 O 1 N l Y 3 R p b 2 4 x L 0 Z T R C 9 B d X R v U m V t b 3 Z l Z E N v b H V t b n M x L n t K d W 5 p b 3 J l b i B p b m R p d i 4 s M j B 9 J n F 1 b 3 Q 7 L C Z x d W 9 0 O 1 N l Y 3 R p b 2 4 x L 0 Z T R C 9 B d X R v U m V t b 3 Z l Z E N v b H V t b n M x L n t B c 3 B p c m F u d G V u I G l u Z G l 2 L i w y M X 0 m c X V v d D s s J n F 1 b 3 Q 7 U 2 V j d G l v b j E v R l N E L 0 F 1 d G 9 S Z W 1 v d m V k Q 2 9 s d W 1 u c z E u e 1 N l b i 4 g a W 5 k I G 9 w Z 2 V n Z X Z l b i B u Y W 1 l b i w y M n 0 m c X V v d D s s J n F 1 b 3 Q 7 U 2 V j d G l v b j E v R l N E L 0 F 1 d G 9 S Z W 1 v d m V k Q 2 9 s d W 1 u c z E u e 0 p 1 b i 4 g a W 5 k I G 9 w Z 2 V n Z X Z l b i B u Y W 1 l b i w y M 3 0 m c X V v d D s s J n F 1 b 3 Q 7 U 2 V j d G l v b j E v R l N E L 0 F 1 d G 9 S Z W 1 v d m V k Q 2 9 s d W 1 u c z E u e 0 F z c C 4 g a W 5 k I G 9 w Z 2 V n Z X Z l b i B u Y W 1 l b i w y N H 0 m c X V v d D s s J n F 1 b 3 Q 7 U 2 V j d G l v b j E v R l N E L 0 F 1 d G 9 S Z W 1 v d m V k Q 2 9 s d W 1 u c z E u e 0 h v b 2 Z k a 2 9 y c H M s M j V 9 J n F 1 b 3 Q 7 L C Z x d W 9 0 O 1 N l Y 3 R p b 2 4 x L 0 Z T R C 9 B d X R v U m V t b 3 Z l Z E N v b H V t b n M x L n s y Z S B r b 3 J w c y w y N n 0 m c X V v d D s s J n F 1 b 3 Q 7 U 2 V j d G l v b j E v R l N E L 0 F 1 d G 9 S Z W 1 v d m V k Q 2 9 s d W 1 u c z E u e 0 d y b 2 V w Z W 4 s I H R l Y W 1 z L C B l b n N l b W J s Z X M g Z W 4 g Z H V v X H U w M D I 3 c y w y N 3 0 m c X V v d D s s J n F 1 b 3 Q 7 U 2 V j d G l v b j E v R l N E L 0 F 1 d G 9 S Z W 1 v d m V k Q 2 9 s d W 1 u c z E u e 1 N l b m l v c m V u L D I 4 f S Z x d W 9 0 O y w m c X V v d D t T Z W N 0 a W 9 u M S 9 G U 0 Q v Q X V 0 b 1 J l b W 9 2 Z W R D b 2 x 1 b W 5 z M S 5 7 S m 9 u Z y B 2 b 2 x 3 Y X N z Z W 5 l L D I 5 f S Z x d W 9 0 O y w m c X V v d D t T Z W N 0 a W 9 u M S 9 G U 0 Q v Q X V 0 b 1 J l b W 9 2 Z W R D b 2 x 1 b W 5 z M S 5 7 S n V u a W 9 y Z W 4 s M z B 9 J n F 1 b 3 Q 7 L C Z x d W 9 0 O 1 N l Y 3 R p b 2 4 x L 0 Z T R C 9 B d X R v U m V t b 3 Z l Z E N v b H V t b n M x L n t B c 3 B p c m F u d G V u L D M x f S Z x d W 9 0 O y w m c X V v d D t T Z W N 0 a W 9 u M S 9 G U 0 Q v Q X V 0 b 1 J l b W 9 2 Z W R D b 2 x 1 b W 5 z M S 5 7 T 3 B n Z W d l d m V u I H N l b m l v c m V u L D M y f S Z x d W 9 0 O y w m c X V v d D t T Z W N 0 a W 9 u M S 9 G U 0 Q v Q X V 0 b 1 J l b W 9 2 Z W R D b 2 x 1 b W 5 z M S 5 7 T 3 B n Z W d l d m V u I G p v b m c g d m 9 s d 2 F z c 2 V u Z S w z M 3 0 m c X V v d D s s J n F 1 b 3 Q 7 U 2 V j d G l v b j E v R l N E L 0 F 1 d G 9 S Z W 1 v d m V k Q 2 9 s d W 1 u c z E u e 0 9 w Z 2 V n Z X Z l b i B q d W 5 p b 3 J l b i w z N H 0 m c X V v d D s s J n F 1 b 3 Q 7 U 2 V j d G l v b j E v R l N E L 0 F 1 d G 9 S Z W 1 v d m V k Q 2 9 s d W 1 u c z E u e 0 9 w Z 2 V n Z X Z l b i B h c 3 B p c m F u d G V u L D M 1 f S Z x d W 9 0 O y w m c X V v d D t T Z W N 0 a W 9 u M S 9 G U 0 Q v Q X V 0 b 1 J l b W 9 2 Z W R D b 2 x 1 b W 5 z M S 5 7 T W F y a 2 V 0 Z W 5 0 c 3 R l c n M s M z Z 9 J n F 1 b 3 Q 7 L C Z x d W 9 0 O 1 N l Y 3 R p b 2 4 x L 0 Z T R C 9 B d X R v U m V t b 3 Z l Z E N v b H V t b n M x L n t M d W N o d G d l d 2 V l c i w z N 3 0 m c X V v d D s s J n F 1 b 3 Q 7 U 2 V j d G l v b j E v R l N E L 0 F 1 d G 9 S Z W 1 v d m V k Q 2 9 s d W 1 u c z E u e 0 F h b n R h b C B s d W N o d G d l d 2 V l c n N j a H V 0 d G V y c y w z O H 0 m c X V v d D s s J n F 1 b 3 Q 7 U 2 V j d G l v b j E v R l N E L 0 F 1 d G 9 S Z W 1 v d m V k Q 2 9 s d W 1 u c z E u e 0 x 1 Y 2 h 0 c G l z d G 9 v b C w z O X 0 m c X V v d D s s J n F 1 b 3 Q 7 U 2 V j d G l v b j E v R l N E L 0 F 1 d G 9 S Z W 1 v d m V k Q 2 9 s d W 1 u c z E u e 0 F h b n R h b C B s d W N o d H B p c 3 R v b 2 x z Y 2 h 1 d H R l c n M s N D B 9 J n F 1 b 3 Q 7 L C Z x d W 9 0 O 1 N l Y 3 R p b 2 4 x L 0 Z T R C 9 B d X R v U m V t b 3 Z l Z E N v b H V t b n M x L n t I Y W 5 k Y m 9 v Z y w 0 M X 0 m c X V v d D s s J n F 1 b 3 Q 7 U 2 V j d G l v b j E v R l N E L 0 F 1 d G 9 S Z W 1 v d m V k Q 2 9 s d W 1 u c z E u e 0 F h b n R h b C B o Y W 5 k Y m 9 v Z 3 N j a H V 0 d G V y c y w 0 M n 0 m c X V v d D s s J n F 1 b 3 Q 7 U 2 V j d G l v b j E v R l N E L 0 F 1 d G 9 S Z W 1 v d m V k Q 2 9 s d W 1 u c z E u e 0 t y d W l z Y m 9 v Z y w 0 M 3 0 m c X V v d D s s J n F 1 b 3 Q 7 U 2 V j d G l v b j E v R l N E L 0 F 1 d G 9 S Z W 1 v d m V k Q 2 9 s d W 1 u c z E u e 0 F h b n R h b C B r c n V p c 2 J v b 2 d z Y 2 h 1 d H R l c n M s N D R 9 J n F 1 b 3 Q 7 L C Z x d W 9 0 O 1 N l Y 3 R p b 2 4 x L 0 Z T R C 9 B d X R v U m V t b 3 Z l Z E N v b H V t b n M x L n t M d W N o d G d l d 2 V l c i B q Z X V n Z C B u a W V 0 I G 9 1 Z G V y I G R h b i A x N y B q Y W F y L i w 0 N X 0 m c X V v d D s s J n F 1 b 3 Q 7 U 2 V j d G l v b j E v R l N E L 0 F 1 d G 9 S Z W 1 v d m V k Q 2 9 s d W 1 u c z E u e 0 F h b n R h b C B r b 3 J w c 2 V u L D Q 2 f S Z x d W 9 0 O y w m c X V v d D t T Z W N 0 a W 9 u M S 9 G U 0 Q v Q X V 0 b 1 J l b W 9 2 Z W R D b 2 x 1 b W 5 z M S 5 7 T 3 B n Z W d l d m V u I G p l d W d k a 2 9 y c H N l b i B M R y w 0 N 3 0 m c X V v d D s s J n F 1 b 3 Q 7 U 2 V j d G l v b j E v R l N E L 0 F 1 d G 9 S Z W 1 v d m V k Q 2 9 s d W 1 u c z E u e 1 R v d G F h b C B h Y W 5 0 Y W w g Z G V l b G 5 l b W V y c y w 0 O H 0 m c X V v d D s s J n F 1 b 3 Q 7 U 2 V j d G l v b j E v R l N E L 0 F 1 d G 9 S Z W 1 v d m V k Q 2 9 s d W 1 u c z E u e 1 d h Y X J 2 Y W 4 g Y W F u d G F s I G p l d W d k I C h 0 L 2 0 g M T U g a m F h c i k s N D l 9 J n F 1 b 3 Q 7 L C Z x d W 9 0 O 1 N l Y 3 R p b 2 4 x L 0 Z T R C 9 B d X R v U m V t b 3 Z l Z E N v b H V t b n M x L n t L Y W 5 v b i B l d G M u L D U w f S Z x d W 9 0 O y w m c X V v d D t T Z W N 0 a W 9 u M S 9 G U 0 Q v Q X V 0 b 1 J l b W 9 2 Z W R D b 2 x 1 b W 5 z M S 5 7 U G F h c m R l b i B l b i 9 v Z i B r b 2 V 0 c 2 V u L D U x f S Z x d W 9 0 O y w m c X V v d D t T Z W N 0 a W 9 u M S 9 G U 0 Q v Q X V 0 b 1 J l b W 9 2 Z W R D b 2 x 1 b W 5 z M S 5 7 V G 9 l b G l j a H R p b m c v b 3 B t Z X J r a W 5 n Z W 4 s N T J 9 J n F 1 b 3 Q 7 L C Z x d W 9 0 O 1 N l Y 3 R p b 2 4 x L 0 Z T R C 9 B d X R v U m V t b 3 Z l Z E N v b H V t b n M x L n t J b n p l b m R p b m c t S U Q s N T N 9 J n F 1 b 3 Q 7 L C Z x d W 9 0 O 1 N l Y 3 R p b 2 4 x L 0 Z T R C 9 B d X R v U m V t b 3 Z l Z E N v b H V t b n M x L n t J b n p l b m R k Y X R 1 b S w 1 N H 0 m c X V v d D s s J n F 1 b 3 Q 7 U 2 V j d G l v b j E v R l N E L 0 F 1 d G 9 S Z W 1 v d m V k Q 2 9 s d W 1 u c z E u e 0 R h d G U g V X B k Y X R l Z C w 1 N X 0 m c X V v d D s s J n F 1 b 3 Q 7 U 2 V j d G l v b j E v R l N E L 0 F 1 d G 9 S Z W 1 v d m V k Q 2 9 s d W 1 u c z E u e 0 5 h Y W 0 g d m F u I G h l d C B o b 2 9 m Z G t v c n B z L D U 2 f S Z x d W 9 0 O y w m c X V v d D t T Z W N 0 a W 9 u M S 9 G U 0 Q v Q X V 0 b 1 J l b W 9 2 Z W R D b 2 x 1 b W 5 z M S 5 7 W m F s I G 9 w I H R y Z W R l b i B h b H M g K G h v b 2 Z k a 2 9 y c H M p L D U 3 f S Z x d W 9 0 O y w m c X V v d D t T Z W N 0 a W 9 u M S 9 G U 0 Q v Q X V 0 b 1 J l b W 9 2 Z W R D b 2 x 1 b W 5 z M S 5 7 V m 9 y b S B 2 Y W 4 g d H d l Z S B t d X p p Z W t 3 Z X J r Z W 4 g K G h v b 2 Z k a 2 9 y c H M p L D U 4 f S Z x d W 9 0 O y w m c X V v d D t T Z W N 0 a W 9 u M S 9 G U 0 Q v Q X V 0 b 1 J l b W 9 2 Z W R D b 2 x 1 b W 5 z M S 5 7 W m F s I H V p d G t v b W V u I G l u I G R l O i A o a G 9 v Z m R r b 3 J w c y k s N T l 9 J n F 1 b 3 Q 7 L C Z x d W 9 0 O 1 N l Y 3 R p b 2 4 x L 0 Z T R C 9 B d X R v U m V t b 3 Z l Z E N v b H V t b n M x L n t N d X p p Z W t 3 Z X J r M S A o a G 9 v Z m R r b 3 J w c y k s N j B 9 J n F 1 b 3 Q 7 L C Z x d W 9 0 O 1 N l Y 3 R p b 2 4 x L 0 Z T R C 9 B d X R v U m V t b 3 Z l Z E N v b H V t b n M x L n t N d X p p Z W t 3 Z X J r M i A o a G 9 v Z m R r b 3 J w c y k s N j F 9 J n F 1 b 3 Q 7 L C Z x d W 9 0 O 1 N l Y 3 R p b 2 4 x L 0 Z T R C 9 B d X R v U m V t b 3 Z l Z E N v b H V t b n M x L n t L b 3 J w c y B i Z X N 0 Y W F 0 I H V p d C A u L i 4 g Z G V l b G 5 l b W V y c y A o a G 9 v Z m R r b 3 J w c y k s N j J 9 J n F 1 b 3 Q 7 L C Z x d W 9 0 O 1 N l Y 3 R p b 2 4 x L 0 Z T R C 9 B d X R v U m V t b 3 Z l Z E N v b H V t b n M x L n t O Y W F t I H Z h b i B o Z X Q g M m U g a 2 9 y c H M s N j N 9 J n F 1 b 3 Q 7 L C Z x d W 9 0 O 1 N l Y 3 R p b 2 4 x L 0 Z T R C 9 B d X R v U m V t b 3 Z l Z E N v b H V t b n M x L n t a Y W w g b 3 A g d H J l Z G V u I G F s c y A o M m U g a 2 9 y c H M p L D Y 0 f S Z x d W 9 0 O y w m c X V v d D t T Z W N 0 a W 9 u M S 9 G U 0 Q v Q X V 0 b 1 J l b W 9 2 Z W R D b 2 x 1 b W 5 z M S 5 7 V m 9 y b S B 2 Y W 4 g d H d l Z S B t d X p p Z W t 3 Z X J r Z W 4 g K D J l I G t v c n B z K S w 2 N X 0 m c X V v d D s s J n F 1 b 3 Q 7 U 2 V j d G l v b j E v R l N E L 0 F 1 d G 9 S Z W 1 v d m V k Q 2 9 s d W 1 u c z E u e 1 p h b C B 1 a X R r b 2 1 l b i B p b i B k Z T o g K D J l I G t v c n B z K S w 2 N n 0 m c X V v d D s s J n F 1 b 3 Q 7 U 2 V j d G l v b j E v R l N E L 0 F 1 d G 9 S Z W 1 v d m V k Q 2 9 s d W 1 u c z E u e 0 1 1 e m l l a 3 d l c m s x I C g y Z S B r b 3 J w c y k s N j d 9 J n F 1 b 3 Q 7 L C Z x d W 9 0 O 1 N l Y 3 R p b 2 4 x L 0 Z T R C 9 B d X R v U m V t b 3 Z l Z E N v b H V t b n M x L n t N d X p p Z W t 3 Z X J r M i A o M m U g a 2 9 y c H M p L D Y 4 f S Z x d W 9 0 O y w m c X V v d D t T Z W N 0 a W 9 u M S 9 G U 0 Q v Q X V 0 b 1 J l b W 9 2 Z W R D b 2 x 1 b W 5 z M S 5 7 S 2 9 y c H M g Y m V z d G F h d C B 1 a X Q g L i 4 u I G R l Z W x u Z W 1 l c n M g K D J l I G t v c n B z K S w 2 O X 0 m c X V v d D s s J n F 1 b 3 Q 7 U 2 V j d G l v b j E v R l N E L 0 F 1 d G 9 S Z W 1 v d m V k Q 2 9 s d W 1 u c z E u e 0 1 l Y 2 h h b m l z Y 2 h l I G 1 1 e m l l a y w 3 M H 0 m c X V v d D s s J n F 1 b 3 Q 7 U 2 V j d G l v b j E v R l N E L 0 F 1 d G 9 S Z W 1 v d m V k Q 2 9 s d W 1 u c z E u e 0 9 u Z G V y Z G V s Z W 4 s N z F 9 J n F 1 b 3 Q 7 L C Z x d W 9 0 O 1 N l Y 3 R p b 2 4 x L 0 Z T R C 9 B d X R v U m V t b 3 Z l Z E N v b H V t b n M x L n t T Z W N 0 a W V z L D c y f S Z x d W 9 0 O y w m c X V v d D t T Z W N 0 a W 9 u M S 9 G U 0 Q v Q X V 0 b 1 J l b W 9 2 Z W R D b 2 x 1 b W 5 z M S 5 7 T G V l Z n R p a m R z Y 2 F 0 Z W d v c m l l L D c z f S Z x d W 9 0 O y w m c X V v d D t T Z W N 0 a W 9 u M S 9 G U 0 Q v Q X V 0 b 1 J l b W 9 2 Z W R D b 2 x 1 b W 5 z M S 5 7 Q W F u d G F s I G 9 w Z 2 V n Z X Z l b i B t Y W p v c m V 0 d G V z L D c 0 f S Z x d W 9 0 O 1 0 s J n F 1 b 3 Q 7 U m V s Y X R p b 2 5 z a G l w S W 5 m b y Z x d W 9 0 O z p b X X 0 i I C 8 + P E V u d H J 5 I F R 5 c G U 9 I k F k Z G V k V G 9 E Y X R h T W 9 k Z W w i I F Z h b H V l P S J s M C I g L z 4 8 L 1 N 0 Y W J s Z U V u d H J p Z X M + P C 9 J d G V t P j x J d G V t P j x J d G V t T G 9 j Y X R p b 2 4 + P E l 0 Z W 1 U e X B l P k Z v c m 1 1 b G E 8 L 0 l 0 Z W 1 U e X B l P j x J d G V t U G F 0 a D 5 T Z W N 0 a W 9 u M S 9 L R E 0 8 L 0 l 0 Z W 1 Q Y X R o P j w v S X R l b U x v Y 2 F 0 a W 9 u P j x T d G F i b G V F b n R y a W V z P j x F b n R y e S B U e X B l P S J C d W Z m Z X J O Z X h 0 U m V m c m V z a C I g V m F s d W U 9 I m w x I i A v P j x F b n R y e S B U e X B l P S J G a W x s R W 5 h Y m x l Z C I g V m F s d W U 9 I m w x I i A v P j x F b n R y e S B U e X B l P S J G a W x s Z W R D b 2 1 w b G V 0 Z V J l c 3 V s d F R v V 2 9 y a 3 N o Z W V 0 I i B W Y W x 1 Z T 0 i b D E i I C 8 + P E V u d H J 5 I F R 5 c G U 9 I k l z U H J p d m F 0 Z S I g V m F s d W U 9 I m w w I i A v P j x F b n R y e S B U e X B l P S J R d W V y e U l E I i B W Y W x 1 Z T 0 i c z Y z O T U 1 M j l l L W U 5 Y T Q t N D B h N y 1 i Z j V m L T E 1 Z G Q y Y j h m M D g 5 Y i I g L z 4 8 R W 5 0 c n k g V H l w Z T 0 i U m V z d W x 0 V H l w Z S I g V m F s d W U 9 I n N U Y W J s Z S I g L z 4 8 R W 5 0 c n k g V H l w Z T 0 i T m F 2 a W d h d G l v b l N 0 Z X B O Y W 1 l I i B W Y W x 1 Z T 0 i c 0 5 h d m l n Y X R p Z S I g L z 4 8 R W 5 0 c n k g V H l w Z T 0 i T m F t Z V V w Z G F 0 Z W R B Z n R l c k Z p b G w i I F Z h b H V l P S J s M C I g L z 4 8 R W 5 0 c n k g V H l w Z T 0 i T G 9 h Z G V k V G 9 B b m F s e X N p c 1 N l c n Z p Y 2 V z I i B W Y W x 1 Z T 0 i b D A i I C 8 + P E V u d H J 5 I F R 5 c G U 9 I k Z p b G x U Y X J n Z X Q i I F Z h b H V l P S J z S 0 R N I i A v P j x F b n R y e S B U e X B l P S J S Z W N v d m V y e V R h c m d l d F J v d y I g V m F s d W U 9 I m w x M C I g L z 4 8 R W 5 0 c n k g V H l w Z T 0 i U m V j b 3 Z l c n l U Y X J n Z X R D b 2 x 1 b W 4 i I F Z h b H V l P S J s M S I g L z 4 8 R W 5 0 c n k g V H l w Z T 0 i U m V j b 3 Z l c n l U Y X J n Z X R T a G V l d C I g V m F s d W U 9 I n N L R E 0 i I C 8 + P E V u d H J 5 I F R 5 c G U 9 I k Z p b G x U b 0 R h d G F N b 2 R l b E V u Y W J s Z W Q i I F Z h b H V l P S J s M C I g L z 4 8 R W 5 0 c n k g V H l w Z T 0 i R m l s b E 9 i a m V j d F R 5 c G U i I F Z h b H V l P S J z V G F i b G U i I C 8 + P E V u d H J 5 I F R 5 c G U 9 I k x v Y W R U b 1 J l c G 9 y d E R p c 2 F i b G V k I i B W Y W x 1 Z T 0 i b D A i I C 8 + P E V u d H J 5 I F R 5 c G U 9 I k Z p b G x M Y X N 0 V X B k Y X R l Z C I g V m F s d W U 9 I m Q y M D I 1 L T A x L T A x V D E 4 O j A 0 O j E 0 L j A 0 N D I z N D B a I i A v P j x F b n R y e S B U e X B l P S J G a W x s Q 2 9 s d W 1 u V H l w Z X M i I F Z h b H V l P S J z Q m d Z R 0 J n W U d C Z 1 l E Q X d N R E F 3 T U R B d 1 l H Q m d N R E F 3 T U R B d 1 l H Q X d N R E F 3 T U R B d 0 1 E Q m d Z R E J n T U d B d 1 l E Q m d N R E F 3 T U d C Z 1 l E Q n d j R 0 J n W U d C Z 1 l E Q m d Z R 0 J n W U d B d 1 l H Q m d Z R C I g L z 4 8 R W 5 0 c n k g V H l w Z T 0 i R m l s b E V y c m 9 y Q 2 9 1 b n Q i I F Z h b H V l P S J s M S I g L z 4 8 R W 5 0 c n k g V H l w Z T 0 i R m l s b E N v b H V t b k 5 h b W V z I i B W Y W x 1 Z T 0 i c 1 s m c X V v d D t L c m l u Z 2 R h Z y Z x d W 9 0 O y w m c X V v d D t W Z X I u b n I m c X V v d D s s J n F 1 b 3 Q 7 T m F h b S B 2 Z X J l b m l n a W 5 n J n F 1 b 3 Q 7 L C Z x d W 9 0 O 0 R l b G V n Y X R p Z S Z x d W 9 0 O y w m c X V v d D t N d X p p Z W t r b 3 J w c y B i a W o g b W F y c y B l b i B k Z W Z p b F x 1 M D B F O S Z x d W 9 0 O y w m c X V v d D t E Z W V s b i 4 g a m V 1 Z 2 R r b 2 5 p b m d z Y 2 h p Z X R l b i Z x d W 9 0 O y w m c X V v d D t N Y W o u I F N l b m l v c m V u I G p 1 c m V y Z W 4 g Y m l q I G 1 h c n M m c X V v d D s s J n F 1 b 3 Q 7 T W F q L i B K Z X V n Z C B q d X J l c m V u I G J p a i B t Y X J z J n F 1 b 3 Q 7 L C Z x d W 9 0 O 0 t v c n B z I H N l b m l v c m V u J n F 1 b 3 Q 7 L C Z x d W 9 0 O 0 p 1 b m l v c m V u I G t v c n B z I D E m c X V v d D s s J n F 1 b 3 Q 7 S n V u a W 9 y Z W 4 g a 2 9 y c H M g M i Z x d W 9 0 O y w m c X V v d D t B c 3 B p c m F u d G V u I G t v c n B z I D E m c X V v d D s s J n F 1 b 3 Q 7 Q X N w a X J h b n R l b i B r b 3 J w c y A y J n F 1 b 3 Q 7 L C Z x d W 9 0 O 0 F j c m 9 i Y X R p c 2 N o I H N l b m l v c m V u J n F 1 b 3 Q 7 L C Z x d W 9 0 O 0 F j c m 9 i Y X R p c 2 N o I G p 1 b m l v c m V u J n F 1 b 3 Q 7 L C Z x d W 9 0 O 0 F j c m 9 i Y X R p c 2 N o I G F z c G l y Y W 5 0 Z W 4 m c X V v d D s s J n F 1 b 3 Q 7 U 2 h v d y B z Z W 5 p b 3 J l b i Z x d W 9 0 O y w m c X V v d D t T a G 9 3 I G p 1 b m l v c m V u J n F 1 b 3 Q 7 L C Z x d W 9 0 O 1 N o b 3 c g Y X N w a X J h b n R l b i Z x d W 9 0 O y w m c X V v d D t T Z W 5 p b 3 J l b i B p b m R p d i 4 m c X V v d D s s J n F 1 b 3 Q 7 S n V u a W 9 y Z W 4 g a W 5 k a X Y u J n F 1 b 3 Q 7 L C Z x d W 9 0 O 0 F z c G l y Y W 5 0 Z W 4 g a W 5 k a X Y u J n F 1 b 3 Q 7 L C Z x d W 9 0 O 1 N l b i 4 g a W 5 k I G 9 w Z 2 V n Z X Z l b i B u Y W 1 l b i Z x d W 9 0 O y w m c X V v d D t K d W 4 u I G l u Z C B v c G d l Z 2 V 2 Z W 4 g b m F t Z W 4 m c X V v d D s s J n F 1 b 3 Q 7 Q X N w L i B p b m Q g b 3 B n Z W d l d m V u I G 5 h b W V u J n F 1 b 3 Q 7 L C Z x d W 9 0 O 0 h v b 2 Z k a 2 9 y c H M m c X V v d D s s J n F 1 b 3 Q 7 M m U g a 2 9 y c H M m c X V v d D s s J n F 1 b 3 Q 7 R 3 J v Z X B l b i w g d G V h b X M s I G V u c 2 V t Y m x l c y B l b i B k d W 9 c d T A w M j d z J n F 1 b 3 Q 7 L C Z x d W 9 0 O 1 N l b m l v c m V u J n F 1 b 3 Q 7 L C Z x d W 9 0 O 0 p v b m c g d m 9 s d 2 F z c 2 V u Z S Z x d W 9 0 O y w m c X V v d D t K d W 5 p b 3 J l b i Z x d W 9 0 O y w m c X V v d D t B c 3 B p c m F u d G V u J n F 1 b 3 Q 7 L C Z x d W 9 0 O 0 9 w Z 2 V n Z X Z l b i B z Z W 5 p b 3 J l b i Z x d W 9 0 O y w m c X V v d D t P c G d l Z 2 V 2 Z W 4 g a m 9 u Z y B 2 b 2 x 3 Y X N z Z W 5 l J n F 1 b 3 Q 7 L C Z x d W 9 0 O 0 9 w Z 2 V n Z X Z l b i B q d W 5 p b 3 J l b i Z x d W 9 0 O y w m c X V v d D t P c G d l Z 2 V 2 Z W 4 g Y X N w a X J h b n R l b i Z x d W 9 0 O y w m c X V v d D t N Y X J r Z X R l b n R z d G V y c y Z x d W 9 0 O y w m c X V v d D t M d W N o d G d l d 2 V l c i Z x d W 9 0 O y w m c X V v d D t B Y W 5 0 Y W w g b H V j a H R n Z X d l Z X J z Y 2 h 1 d H R l c n M m c X V v d D s s J n F 1 b 3 Q 7 T H V j a H R w a X N 0 b 2 9 s J n F 1 b 3 Q 7 L C Z x d W 9 0 O 0 F h b n R h b C B s d W N o d H B p c 3 R v b 2 x z Y 2 h 1 d H R l c n M m c X V v d D s s J n F 1 b 3 Q 7 S G F u Z G J v b 2 c m c X V v d D s s J n F 1 b 3 Q 7 Q W F u d G F s I G h h b m R i b 2 9 n c 2 N o d X R 0 Z X J z J n F 1 b 3 Q 7 L C Z x d W 9 0 O 0 t y d W l z Y m 9 v Z y Z x d W 9 0 O y w m c X V v d D t B Y W 5 0 Y W w g a 3 J 1 a X N i b 2 9 n c 2 N o d X R 0 Z X J z J n F 1 b 3 Q 7 L C Z x d W 9 0 O 0 x 1 Y 2 h 0 Z 2 V 3 Z W V y I G p l d W d k I G 5 p Z X Q g b 3 V k Z X I g Z G F u I D E 3 I G p h Y X I u J n F 1 b 3 Q 7 L C Z x d W 9 0 O 0 F h b n R h b C B r b 3 J w c 2 V u J n F 1 b 3 Q 7 L C Z x d W 9 0 O 0 9 w Z 2 V n Z X Z l b i B q Z X V n Z G t v c n B z Z W 4 g T E c m c X V v d D s s J n F 1 b 3 Q 7 V G 9 0 Y W F s I G F h b n R h b C B k Z W V s b m V t Z X J z J n F 1 b 3 Q 7 L C Z x d W 9 0 O 1 d h Y X J 2 Y W 4 g Y W F u d G F s I G p l d W d k I C h 0 L 2 0 g M T U g a m F h c i k m c X V v d D s s J n F 1 b 3 Q 7 S 2 F u b 2 4 g Z X R j L i Z x d W 9 0 O y w m c X V v d D t Q Y W F y Z G V u I G V u L 2 9 m I G t v Z X R z Z W 4 m c X V v d D s s J n F 1 b 3 Q 7 V G 9 l b G l j a H R p b m c v b 3 B t Z X J r a W 5 n Z W 4 m c X V v d D s s J n F 1 b 3 Q 7 S W 5 6 Z W 5 k a W 5 n L U l E J n F 1 b 3 Q 7 L C Z x d W 9 0 O 0 l u e m V u Z G R h d H V t J n F 1 b 3 Q 7 L C Z x d W 9 0 O 0 R h d G U g V X B k Y X R l Z C Z x d W 9 0 O y w m c X V v d D t O Y W F t I H Z h b i B o Z X Q g a G 9 v Z m R r b 3 J w c y Z x d W 9 0 O y w m c X V v d D t a Y W w g b 3 A g d H J l Z G V u I G F s c y A o a G 9 v Z m R r b 3 J w c y k m c X V v d D s s J n F 1 b 3 Q 7 V m 9 y b S B 2 Y W 4 g d H d l Z S B t d X p p Z W t 3 Z X J r Z W 4 g K G h v b 2 Z k a 2 9 y c H M p J n F 1 b 3 Q 7 L C Z x d W 9 0 O 1 p h b C B 1 a X R r b 2 1 l b i B p b i B k Z T o g K G h v b 2 Z k a 2 9 y c H M p J n F 1 b 3 Q 7 L C Z x d W 9 0 O 0 1 1 e m l l a 3 d l c m s x I C h o b 2 9 m Z G t v c n B z K S Z x d W 9 0 O y w m c X V v d D t N d X p p Z W t 3 Z X J r M i A o a G 9 v Z m R r b 3 J w c y k m c X V v d D s s J n F 1 b 3 Q 7 S 2 9 y c H M g Y m V z d G F h d C B 1 a X Q g L i 4 u I G R l Z W x u Z W 1 l c n M g K G h v b 2 Z k a 2 9 y c H M p J n F 1 b 3 Q 7 L C Z x d W 9 0 O 0 5 h Y W 0 g d m F u I G h l d C A y Z S B r b 3 J w c y Z x d W 9 0 O y w m c X V v d D t a Y W w g b 3 A g d H J l Z G V u I G F s c y A o M m U g a 2 9 y c H M p J n F 1 b 3 Q 7 L C Z x d W 9 0 O 1 Z v c m 0 g d m F u I H R 3 Z W U g b X V 6 a W V r d 2 V y a 2 V u I C g y Z S B r b 3 J w c y k m c X V v d D s s J n F 1 b 3 Q 7 W m F s I H V p d G t v b W V u I G l u I G R l O i A o M m U g a 2 9 y c H M p J n F 1 b 3 Q 7 L C Z x d W 9 0 O 0 1 1 e m l l a 3 d l c m s x I C g y Z S B r b 3 J w c y k m c X V v d D s s J n F 1 b 3 Q 7 T X V 6 a W V r d 2 V y a z I g K D J l I G t v c n B z K S Z x d W 9 0 O y w m c X V v d D t L b 3 J w c y B i Z X N 0 Y W F 0 I H V p d C A u L i 4 g Z G V l b G 5 l b W V y c y A o M m U g a 2 9 y c H M p J n F 1 b 3 Q 7 L C Z x d W 9 0 O 0 1 l Y 2 h h b m l z Y 2 h l I G 1 1 e m l l a y Z x d W 9 0 O y w m c X V v d D t P b m R l c m R l b G V u J n F 1 b 3 Q 7 L C Z x d W 9 0 O 1 N l Y 3 R p Z X M m c X V v d D s s J n F 1 b 3 Q 7 T G V l Z n R p a m R z Y 2 F 0 Z W d v c m l l J n F 1 b 3 Q 7 L C Z x d W 9 0 O 0 F h b n R h b C B v c G d l Z 2 V 2 Z W 4 g b W F q b 3 J l d H R l c y Z x d W 9 0 O 1 0 i I C 8 + P E V u d H J 5 I F R 5 c G U 9 I k Z p b G x F c n J v c k N v Z G U i I F Z h b H V l P S J z V W 5 r b m 9 3 b i I g L z 4 8 R W 5 0 c n k g V H l w Z T 0 i R m l s b F N 0 Y X R 1 c y I g V m F s d W U 9 I n N D b 2 1 w b G V 0 Z S I g L z 4 8 R W 5 0 c n k g V H l w Z T 0 i R m l s b E N v d W 5 0 I i B W Y W x 1 Z T 0 i b D E z I i A v P j x F b n R y e S B U e X B l P S J S Z W x h d G l v b n N o a X B J b m Z v Q 2 9 u d G F p b m V y I i B W Y W x 1 Z T 0 i c 3 s m c X V v d D t j b 2 x 1 b W 5 D b 3 V u d C Z x d W 9 0 O z o 3 N S w m c X V v d D t r Z X l D b 2 x 1 b W 5 O Y W 1 l c y Z x d W 9 0 O z p b X S w m c X V v d D t x d W V y e V J l b G F 0 a W 9 u c 2 h p c H M m c X V v d D s 6 W 1 0 s J n F 1 b 3 Q 7 Y 2 9 s d W 1 u S W R l b n R p d G l l c y Z x d W 9 0 O z p b J n F 1 b 3 Q 7 U 2 V j d G l v b j E v S 0 R N L 0 F 1 d G 9 S Z W 1 v d m V k Q 2 9 s d W 1 u c z E u e 0 t y a W 5 n Z G F n L D B 9 J n F 1 b 3 Q 7 L C Z x d W 9 0 O 1 N l Y 3 R p b 2 4 x L 0 t E T S 9 B d X R v U m V t b 3 Z l Z E N v b H V t b n M x L n t W Z X I u b n I s M X 0 m c X V v d D s s J n F 1 b 3 Q 7 U 2 V j d G l v b j E v S 0 R N L 0 F 1 d G 9 S Z W 1 v d m V k Q 2 9 s d W 1 u c z E u e 0 5 h Y W 0 g d m V y Z W 5 p Z 2 l u Z y w y f S Z x d W 9 0 O y w m c X V v d D t T Z W N 0 a W 9 u M S 9 L R E 0 v Q X V 0 b 1 J l b W 9 2 Z W R D b 2 x 1 b W 5 z M S 5 7 R G V s Z W d h d G l l L D N 9 J n F 1 b 3 Q 7 L C Z x d W 9 0 O 1 N l Y 3 R p b 2 4 x L 0 t E T S 9 B d X R v U m V t b 3 Z l Z E N v b H V t b n M x L n t N d X p p Z W t r b 3 J w c y B i a W o g b W F y c y B l b i B k Z W Z p b F x 1 M D B F O S w 0 f S Z x d W 9 0 O y w m c X V v d D t T Z W N 0 a W 9 u M S 9 L R E 0 v Q X V 0 b 1 J l b W 9 2 Z W R D b 2 x 1 b W 5 z M S 5 7 R G V l b G 4 u I G p l d W d k a 2 9 u a W 5 n c 2 N o a W V 0 Z W 4 s N X 0 m c X V v d D s s J n F 1 b 3 Q 7 U 2 V j d G l v b j E v S 0 R N L 0 F 1 d G 9 S Z W 1 v d m V k Q 2 9 s d W 1 u c z E u e 0 1 h a i 4 g U 2 V u a W 9 y Z W 4 g a n V y Z X J l b i B i a W o g b W F y c y w 2 f S Z x d W 9 0 O y w m c X V v d D t T Z W N 0 a W 9 u M S 9 L R E 0 v Q X V 0 b 1 J l b W 9 2 Z W R D b 2 x 1 b W 5 z M S 5 7 T W F q L i B K Z X V n Z C B q d X J l c m V u I G J p a i B t Y X J z L D d 9 J n F 1 b 3 Q 7 L C Z x d W 9 0 O 1 N l Y 3 R p b 2 4 x L 0 t E T S 9 B d X R v U m V t b 3 Z l Z E N v b H V t b n M x L n t L b 3 J w c y B z Z W 5 p b 3 J l b i w 4 f S Z x d W 9 0 O y w m c X V v d D t T Z W N 0 a W 9 u M S 9 L R E 0 v Q X V 0 b 1 J l b W 9 2 Z W R D b 2 x 1 b W 5 z M S 5 7 S n V u a W 9 y Z W 4 g a 2 9 y c H M g M S w 5 f S Z x d W 9 0 O y w m c X V v d D t T Z W N 0 a W 9 u M S 9 L R E 0 v Q X V 0 b 1 J l b W 9 2 Z W R D b 2 x 1 b W 5 z M S 5 7 S n V u a W 9 y Z W 4 g a 2 9 y c H M g M i w x M H 0 m c X V v d D s s J n F 1 b 3 Q 7 U 2 V j d G l v b j E v S 0 R N L 0 F 1 d G 9 S Z W 1 v d m V k Q 2 9 s d W 1 u c z E u e 0 F z c G l y Y W 5 0 Z W 4 g a 2 9 y c H M g M S w x M X 0 m c X V v d D s s J n F 1 b 3 Q 7 U 2 V j d G l v b j E v S 0 R N L 0 F 1 d G 9 S Z W 1 v d m V k Q 2 9 s d W 1 u c z E u e 0 F z c G l y Y W 5 0 Z W 4 g a 2 9 y c H M g M i w x M n 0 m c X V v d D s s J n F 1 b 3 Q 7 U 2 V j d G l v b j E v S 0 R N L 0 F 1 d G 9 S Z W 1 v d m V k Q 2 9 s d W 1 u c z E u e 0 F j c m 9 i Y X R p c 2 N o I H N l b m l v c m V u L D E z f S Z x d W 9 0 O y w m c X V v d D t T Z W N 0 a W 9 u M S 9 L R E 0 v Q X V 0 b 1 J l b W 9 2 Z W R D b 2 x 1 b W 5 z M S 5 7 Q W N y b 2 J h d G l z Y 2 g g a n V u a W 9 y Z W 4 s M T R 9 J n F 1 b 3 Q 7 L C Z x d W 9 0 O 1 N l Y 3 R p b 2 4 x L 0 t E T S 9 B d X R v U m V t b 3 Z l Z E N v b H V t b n M x L n t B Y 3 J v Y m F 0 a X N j a C B h c 3 B p c m F u d G V u L D E 1 f S Z x d W 9 0 O y w m c X V v d D t T Z W N 0 a W 9 u M S 9 L R E 0 v Q X V 0 b 1 J l b W 9 2 Z W R D b 2 x 1 b W 5 z M S 5 7 U 2 h v d y B z Z W 5 p b 3 J l b i w x N n 0 m c X V v d D s s J n F 1 b 3 Q 7 U 2 V j d G l v b j E v S 0 R N L 0 F 1 d G 9 S Z W 1 v d m V k Q 2 9 s d W 1 u c z E u e 1 N o b 3 c g a n V u a W 9 y Z W 4 s M T d 9 J n F 1 b 3 Q 7 L C Z x d W 9 0 O 1 N l Y 3 R p b 2 4 x L 0 t E T S 9 B d X R v U m V t b 3 Z l Z E N v b H V t b n M x L n t T a G 9 3 I G F z c G l y Y W 5 0 Z W 4 s M T h 9 J n F 1 b 3 Q 7 L C Z x d W 9 0 O 1 N l Y 3 R p b 2 4 x L 0 t E T S 9 B d X R v U m V t b 3 Z l Z E N v b H V t b n M x L n t T Z W 5 p b 3 J l b i B p b m R p d i 4 s M T l 9 J n F 1 b 3 Q 7 L C Z x d W 9 0 O 1 N l Y 3 R p b 2 4 x L 0 t E T S 9 B d X R v U m V t b 3 Z l Z E N v b H V t b n M x L n t K d W 5 p b 3 J l b i B p b m R p d i 4 s M j B 9 J n F 1 b 3 Q 7 L C Z x d W 9 0 O 1 N l Y 3 R p b 2 4 x L 0 t E T S 9 B d X R v U m V t b 3 Z l Z E N v b H V t b n M x L n t B c 3 B p c m F u d G V u I G l u Z G l 2 L i w y M X 0 m c X V v d D s s J n F 1 b 3 Q 7 U 2 V j d G l v b j E v S 0 R N L 0 F 1 d G 9 S Z W 1 v d m V k Q 2 9 s d W 1 u c z E u e 1 N l b i 4 g a W 5 k I G 9 w Z 2 V n Z X Z l b i B u Y W 1 l b i w y M n 0 m c X V v d D s s J n F 1 b 3 Q 7 U 2 V j d G l v b j E v S 0 R N L 0 F 1 d G 9 S Z W 1 v d m V k Q 2 9 s d W 1 u c z E u e 0 p 1 b i 4 g a W 5 k I G 9 w Z 2 V n Z X Z l b i B u Y W 1 l b i w y M 3 0 m c X V v d D s s J n F 1 b 3 Q 7 U 2 V j d G l v b j E v S 0 R N L 0 F 1 d G 9 S Z W 1 v d m V k Q 2 9 s d W 1 u c z E u e 0 F z c C 4 g a W 5 k I G 9 w Z 2 V n Z X Z l b i B u Y W 1 l b i w y N H 0 m c X V v d D s s J n F 1 b 3 Q 7 U 2 V j d G l v b j E v S 0 R N L 0 F 1 d G 9 S Z W 1 v d m V k Q 2 9 s d W 1 u c z E u e 0 h v b 2 Z k a 2 9 y c H M s M j V 9 J n F 1 b 3 Q 7 L C Z x d W 9 0 O 1 N l Y 3 R p b 2 4 x L 0 t E T S 9 B d X R v U m V t b 3 Z l Z E N v b H V t b n M x L n s y Z S B r b 3 J w c y w y N n 0 m c X V v d D s s J n F 1 b 3 Q 7 U 2 V j d G l v b j E v S 0 R N L 0 F 1 d G 9 S Z W 1 v d m V k Q 2 9 s d W 1 u c z E u e 0 d y b 2 V w Z W 4 s I H R l Y W 1 z L C B l b n N l b W J s Z X M g Z W 4 g Z H V v X H U w M D I 3 c y w y N 3 0 m c X V v d D s s J n F 1 b 3 Q 7 U 2 V j d G l v b j E v S 0 R N L 0 F 1 d G 9 S Z W 1 v d m V k Q 2 9 s d W 1 u c z E u e 1 N l b m l v c m V u L D I 4 f S Z x d W 9 0 O y w m c X V v d D t T Z W N 0 a W 9 u M S 9 L R E 0 v Q X V 0 b 1 J l b W 9 2 Z W R D b 2 x 1 b W 5 z M S 5 7 S m 9 u Z y B 2 b 2 x 3 Y X N z Z W 5 l L D I 5 f S Z x d W 9 0 O y w m c X V v d D t T Z W N 0 a W 9 u M S 9 L R E 0 v Q X V 0 b 1 J l b W 9 2 Z W R D b 2 x 1 b W 5 z M S 5 7 S n V u a W 9 y Z W 4 s M z B 9 J n F 1 b 3 Q 7 L C Z x d W 9 0 O 1 N l Y 3 R p b 2 4 x L 0 t E T S 9 B d X R v U m V t b 3 Z l Z E N v b H V t b n M x L n t B c 3 B p c m F u d G V u L D M x f S Z x d W 9 0 O y w m c X V v d D t T Z W N 0 a W 9 u M S 9 L R E 0 v Q X V 0 b 1 J l b W 9 2 Z W R D b 2 x 1 b W 5 z M S 5 7 T 3 B n Z W d l d m V u I H N l b m l v c m V u L D M y f S Z x d W 9 0 O y w m c X V v d D t T Z W N 0 a W 9 u M S 9 L R E 0 v Q X V 0 b 1 J l b W 9 2 Z W R D b 2 x 1 b W 5 z M S 5 7 T 3 B n Z W d l d m V u I G p v b m c g d m 9 s d 2 F z c 2 V u Z S w z M 3 0 m c X V v d D s s J n F 1 b 3 Q 7 U 2 V j d G l v b j E v S 0 R N L 0 F 1 d G 9 S Z W 1 v d m V k Q 2 9 s d W 1 u c z E u e 0 9 w Z 2 V n Z X Z l b i B q d W 5 p b 3 J l b i w z N H 0 m c X V v d D s s J n F 1 b 3 Q 7 U 2 V j d G l v b j E v S 0 R N L 0 F 1 d G 9 S Z W 1 v d m V k Q 2 9 s d W 1 u c z E u e 0 9 w Z 2 V n Z X Z l b i B h c 3 B p c m F u d G V u L D M 1 f S Z x d W 9 0 O y w m c X V v d D t T Z W N 0 a W 9 u M S 9 L R E 0 v Q X V 0 b 1 J l b W 9 2 Z W R D b 2 x 1 b W 5 z M S 5 7 T W F y a 2 V 0 Z W 5 0 c 3 R l c n M s M z Z 9 J n F 1 b 3 Q 7 L C Z x d W 9 0 O 1 N l Y 3 R p b 2 4 x L 0 t E T S 9 B d X R v U m V t b 3 Z l Z E N v b H V t b n M x L n t M d W N o d G d l d 2 V l c i w z N 3 0 m c X V v d D s s J n F 1 b 3 Q 7 U 2 V j d G l v b j E v S 0 R N L 0 F 1 d G 9 S Z W 1 v d m V k Q 2 9 s d W 1 u c z E u e 0 F h b n R h b C B s d W N o d G d l d 2 V l c n N j a H V 0 d G V y c y w z O H 0 m c X V v d D s s J n F 1 b 3 Q 7 U 2 V j d G l v b j E v S 0 R N L 0 F 1 d G 9 S Z W 1 v d m V k Q 2 9 s d W 1 u c z E u e 0 x 1 Y 2 h 0 c G l z d G 9 v b C w z O X 0 m c X V v d D s s J n F 1 b 3 Q 7 U 2 V j d G l v b j E v S 0 R N L 0 F 1 d G 9 S Z W 1 v d m V k Q 2 9 s d W 1 u c z E u e 0 F h b n R h b C B s d W N o d H B p c 3 R v b 2 x z Y 2 h 1 d H R l c n M s N D B 9 J n F 1 b 3 Q 7 L C Z x d W 9 0 O 1 N l Y 3 R p b 2 4 x L 0 t E T S 9 B d X R v U m V t b 3 Z l Z E N v b H V t b n M x L n t I Y W 5 k Y m 9 v Z y w 0 M X 0 m c X V v d D s s J n F 1 b 3 Q 7 U 2 V j d G l v b j E v S 0 R N L 0 F 1 d G 9 S Z W 1 v d m V k Q 2 9 s d W 1 u c z E u e 0 F h b n R h b C B o Y W 5 k Y m 9 v Z 3 N j a H V 0 d G V y c y w 0 M n 0 m c X V v d D s s J n F 1 b 3 Q 7 U 2 V j d G l v b j E v S 0 R N L 0 F 1 d G 9 S Z W 1 v d m V k Q 2 9 s d W 1 u c z E u e 0 t y d W l z Y m 9 v Z y w 0 M 3 0 m c X V v d D s s J n F 1 b 3 Q 7 U 2 V j d G l v b j E v S 0 R N L 0 F 1 d G 9 S Z W 1 v d m V k Q 2 9 s d W 1 u c z E u e 0 F h b n R h b C B r c n V p c 2 J v b 2 d z Y 2 h 1 d H R l c n M s N D R 9 J n F 1 b 3 Q 7 L C Z x d W 9 0 O 1 N l Y 3 R p b 2 4 x L 0 t E T S 9 B d X R v U m V t b 3 Z l Z E N v b H V t b n M x L n t M d W N o d G d l d 2 V l c i B q Z X V n Z C B u a W V 0 I G 9 1 Z G V y I G R h b i A x N y B q Y W F y L i w 0 N X 0 m c X V v d D s s J n F 1 b 3 Q 7 U 2 V j d G l v b j E v S 0 R N L 0 F 1 d G 9 S Z W 1 v d m V k Q 2 9 s d W 1 u c z E u e 0 F h b n R h b C B r b 3 J w c 2 V u L D Q 2 f S Z x d W 9 0 O y w m c X V v d D t T Z W N 0 a W 9 u M S 9 L R E 0 v Q X V 0 b 1 J l b W 9 2 Z W R D b 2 x 1 b W 5 z M S 5 7 T 3 B n Z W d l d m V u I G p l d W d k a 2 9 y c H N l b i B M R y w 0 N 3 0 m c X V v d D s s J n F 1 b 3 Q 7 U 2 V j d G l v b j E v S 0 R N L 0 F 1 d G 9 S Z W 1 v d m V k Q 2 9 s d W 1 u c z E u e 1 R v d G F h b C B h Y W 5 0 Y W w g Z G V l b G 5 l b W V y c y w 0 O H 0 m c X V v d D s s J n F 1 b 3 Q 7 U 2 V j d G l v b j E v S 0 R N L 0 F 1 d G 9 S Z W 1 v d m V k Q 2 9 s d W 1 u c z E u e 1 d h Y X J 2 Y W 4 g Y W F u d G F s I G p l d W d k I C h 0 L 2 0 g M T U g a m F h c i k s N D l 9 J n F 1 b 3 Q 7 L C Z x d W 9 0 O 1 N l Y 3 R p b 2 4 x L 0 t E T S 9 B d X R v U m V t b 3 Z l Z E N v b H V t b n M x L n t L Y W 5 v b i B l d G M u L D U w f S Z x d W 9 0 O y w m c X V v d D t T Z W N 0 a W 9 u M S 9 L R E 0 v Q X V 0 b 1 J l b W 9 2 Z W R D b 2 x 1 b W 5 z M S 5 7 U G F h c m R l b i B l b i 9 v Z i B r b 2 V 0 c 2 V u L D U x f S Z x d W 9 0 O y w m c X V v d D t T Z W N 0 a W 9 u M S 9 L R E 0 v Q X V 0 b 1 J l b W 9 2 Z W R D b 2 x 1 b W 5 z M S 5 7 V G 9 l b G l j a H R p b m c v b 3 B t Z X J r a W 5 n Z W 4 s N T J 9 J n F 1 b 3 Q 7 L C Z x d W 9 0 O 1 N l Y 3 R p b 2 4 x L 0 t E T S 9 B d X R v U m V t b 3 Z l Z E N v b H V t b n M x L n t J b n p l b m R p b m c t S U Q s N T N 9 J n F 1 b 3 Q 7 L C Z x d W 9 0 O 1 N l Y 3 R p b 2 4 x L 0 t E T S 9 B d X R v U m V t b 3 Z l Z E N v b H V t b n M x L n t J b n p l b m R k Y X R 1 b S w 1 N H 0 m c X V v d D s s J n F 1 b 3 Q 7 U 2 V j d G l v b j E v S 0 R N L 0 F 1 d G 9 S Z W 1 v d m V k Q 2 9 s d W 1 u c z E u e 0 R h d G U g V X B k Y X R l Z C w 1 N X 0 m c X V v d D s s J n F 1 b 3 Q 7 U 2 V j d G l v b j E v S 0 R N L 0 F 1 d G 9 S Z W 1 v d m V k Q 2 9 s d W 1 u c z E u e 0 5 h Y W 0 g d m F u I G h l d C B o b 2 9 m Z G t v c n B z L D U 2 f S Z x d W 9 0 O y w m c X V v d D t T Z W N 0 a W 9 u M S 9 L R E 0 v Q X V 0 b 1 J l b W 9 2 Z W R D b 2 x 1 b W 5 z M S 5 7 W m F s I G 9 w I H R y Z W R l b i B h b H M g K G h v b 2 Z k a 2 9 y c H M p L D U 3 f S Z x d W 9 0 O y w m c X V v d D t T Z W N 0 a W 9 u M S 9 L R E 0 v Q X V 0 b 1 J l b W 9 2 Z W R D b 2 x 1 b W 5 z M S 5 7 V m 9 y b S B 2 Y W 4 g d H d l Z S B t d X p p Z W t 3 Z X J r Z W 4 g K G h v b 2 Z k a 2 9 y c H M p L D U 4 f S Z x d W 9 0 O y w m c X V v d D t T Z W N 0 a W 9 u M S 9 L R E 0 v Q X V 0 b 1 J l b W 9 2 Z W R D b 2 x 1 b W 5 z M S 5 7 W m F s I H V p d G t v b W V u I G l u I G R l O i A o a G 9 v Z m R r b 3 J w c y k s N T l 9 J n F 1 b 3 Q 7 L C Z x d W 9 0 O 1 N l Y 3 R p b 2 4 x L 0 t E T S 9 B d X R v U m V t b 3 Z l Z E N v b H V t b n M x L n t N d X p p Z W t 3 Z X J r M S A o a G 9 v Z m R r b 3 J w c y k s N j B 9 J n F 1 b 3 Q 7 L C Z x d W 9 0 O 1 N l Y 3 R p b 2 4 x L 0 t E T S 9 B d X R v U m V t b 3 Z l Z E N v b H V t b n M x L n t N d X p p Z W t 3 Z X J r M i A o a G 9 v Z m R r b 3 J w c y k s N j F 9 J n F 1 b 3 Q 7 L C Z x d W 9 0 O 1 N l Y 3 R p b 2 4 x L 0 t E T S 9 B d X R v U m V t b 3 Z l Z E N v b H V t b n M x L n t L b 3 J w c y B i Z X N 0 Y W F 0 I H V p d C A u L i 4 g Z G V l b G 5 l b W V y c y A o a G 9 v Z m R r b 3 J w c y k s N j J 9 J n F 1 b 3 Q 7 L C Z x d W 9 0 O 1 N l Y 3 R p b 2 4 x L 0 t E T S 9 B d X R v U m V t b 3 Z l Z E N v b H V t b n M x L n t O Y W F t I H Z h b i B o Z X Q g M m U g a 2 9 y c H M s N j N 9 J n F 1 b 3 Q 7 L C Z x d W 9 0 O 1 N l Y 3 R p b 2 4 x L 0 t E T S 9 B d X R v U m V t b 3 Z l Z E N v b H V t b n M x L n t a Y W w g b 3 A g d H J l Z G V u I G F s c y A o M m U g a 2 9 y c H M p L D Y 0 f S Z x d W 9 0 O y w m c X V v d D t T Z W N 0 a W 9 u M S 9 L R E 0 v Q X V 0 b 1 J l b W 9 2 Z W R D b 2 x 1 b W 5 z M S 5 7 V m 9 y b S B 2 Y W 4 g d H d l Z S B t d X p p Z W t 3 Z X J r Z W 4 g K D J l I G t v c n B z K S w 2 N X 0 m c X V v d D s s J n F 1 b 3 Q 7 U 2 V j d G l v b j E v S 0 R N L 0 F 1 d G 9 S Z W 1 v d m V k Q 2 9 s d W 1 u c z E u e 1 p h b C B 1 a X R r b 2 1 l b i B p b i B k Z T o g K D J l I G t v c n B z K S w 2 N n 0 m c X V v d D s s J n F 1 b 3 Q 7 U 2 V j d G l v b j E v S 0 R N L 0 F 1 d G 9 S Z W 1 v d m V k Q 2 9 s d W 1 u c z E u e 0 1 1 e m l l a 3 d l c m s x I C g y Z S B r b 3 J w c y k s N j d 9 J n F 1 b 3 Q 7 L C Z x d W 9 0 O 1 N l Y 3 R p b 2 4 x L 0 t E T S 9 B d X R v U m V t b 3 Z l Z E N v b H V t b n M x L n t N d X p p Z W t 3 Z X J r M i A o M m U g a 2 9 y c H M p L D Y 4 f S Z x d W 9 0 O y w m c X V v d D t T Z W N 0 a W 9 u M S 9 L R E 0 v Q X V 0 b 1 J l b W 9 2 Z W R D b 2 x 1 b W 5 z M S 5 7 S 2 9 y c H M g Y m V z d G F h d C B 1 a X Q g L i 4 u I G R l Z W x u Z W 1 l c n M g K D J l I G t v c n B z K S w 2 O X 0 m c X V v d D s s J n F 1 b 3 Q 7 U 2 V j d G l v b j E v S 0 R N L 0 F 1 d G 9 S Z W 1 v d m V k Q 2 9 s d W 1 u c z E u e 0 1 l Y 2 h h b m l z Y 2 h l I G 1 1 e m l l a y w 3 M H 0 m c X V v d D s s J n F 1 b 3 Q 7 U 2 V j d G l v b j E v S 0 R N L 0 F 1 d G 9 S Z W 1 v d m V k Q 2 9 s d W 1 u c z E u e 0 9 u Z G V y Z G V s Z W 4 s N z F 9 J n F 1 b 3 Q 7 L C Z x d W 9 0 O 1 N l Y 3 R p b 2 4 x L 0 t E T S 9 B d X R v U m V t b 3 Z l Z E N v b H V t b n M x L n t T Z W N 0 a W V z L D c y f S Z x d W 9 0 O y w m c X V v d D t T Z W N 0 a W 9 u M S 9 L R E 0 v Q X V 0 b 1 J l b W 9 2 Z W R D b 2 x 1 b W 5 z M S 5 7 T G V l Z n R p a m R z Y 2 F 0 Z W d v c m l l L D c z f S Z x d W 9 0 O y w m c X V v d D t T Z W N 0 a W 9 u M S 9 L R E 0 v Q X V 0 b 1 J l b W 9 2 Z W R D b 2 x 1 b W 5 z M S 5 7 Q W F u d G F s I G 9 w Z 2 V n Z X Z l b i B t Y W p v c m V 0 d G V z L D c 0 f S Z x d W 9 0 O 1 0 s J n F 1 b 3 Q 7 Q 2 9 s d W 1 u Q 2 9 1 b n Q m c X V v d D s 6 N z U s J n F 1 b 3 Q 7 S 2 V 5 Q 2 9 s d W 1 u T m F t Z X M m c X V v d D s 6 W 1 0 s J n F 1 b 3 Q 7 Q 2 9 s d W 1 u S W R l b n R p d G l l c y Z x d W 9 0 O z p b J n F 1 b 3 Q 7 U 2 V j d G l v b j E v S 0 R N L 0 F 1 d G 9 S Z W 1 v d m V k Q 2 9 s d W 1 u c z E u e 0 t y a W 5 n Z G F n L D B 9 J n F 1 b 3 Q 7 L C Z x d W 9 0 O 1 N l Y 3 R p b 2 4 x L 0 t E T S 9 B d X R v U m V t b 3 Z l Z E N v b H V t b n M x L n t W Z X I u b n I s M X 0 m c X V v d D s s J n F 1 b 3 Q 7 U 2 V j d G l v b j E v S 0 R N L 0 F 1 d G 9 S Z W 1 v d m V k Q 2 9 s d W 1 u c z E u e 0 5 h Y W 0 g d m V y Z W 5 p Z 2 l u Z y w y f S Z x d W 9 0 O y w m c X V v d D t T Z W N 0 a W 9 u M S 9 L R E 0 v Q X V 0 b 1 J l b W 9 2 Z W R D b 2 x 1 b W 5 z M S 5 7 R G V s Z W d h d G l l L D N 9 J n F 1 b 3 Q 7 L C Z x d W 9 0 O 1 N l Y 3 R p b 2 4 x L 0 t E T S 9 B d X R v U m V t b 3 Z l Z E N v b H V t b n M x L n t N d X p p Z W t r b 3 J w c y B i a W o g b W F y c y B l b i B k Z W Z p b F x 1 M D B F O S w 0 f S Z x d W 9 0 O y w m c X V v d D t T Z W N 0 a W 9 u M S 9 L R E 0 v Q X V 0 b 1 J l b W 9 2 Z W R D b 2 x 1 b W 5 z M S 5 7 R G V l b G 4 u I G p l d W d k a 2 9 u a W 5 n c 2 N o a W V 0 Z W 4 s N X 0 m c X V v d D s s J n F 1 b 3 Q 7 U 2 V j d G l v b j E v S 0 R N L 0 F 1 d G 9 S Z W 1 v d m V k Q 2 9 s d W 1 u c z E u e 0 1 h a i 4 g U 2 V u a W 9 y Z W 4 g a n V y Z X J l b i B i a W o g b W F y c y w 2 f S Z x d W 9 0 O y w m c X V v d D t T Z W N 0 a W 9 u M S 9 L R E 0 v Q X V 0 b 1 J l b W 9 2 Z W R D b 2 x 1 b W 5 z M S 5 7 T W F q L i B K Z X V n Z C B q d X J l c m V u I G J p a i B t Y X J z L D d 9 J n F 1 b 3 Q 7 L C Z x d W 9 0 O 1 N l Y 3 R p b 2 4 x L 0 t E T S 9 B d X R v U m V t b 3 Z l Z E N v b H V t b n M x L n t L b 3 J w c y B z Z W 5 p b 3 J l b i w 4 f S Z x d W 9 0 O y w m c X V v d D t T Z W N 0 a W 9 u M S 9 L R E 0 v Q X V 0 b 1 J l b W 9 2 Z W R D b 2 x 1 b W 5 z M S 5 7 S n V u a W 9 y Z W 4 g a 2 9 y c H M g M S w 5 f S Z x d W 9 0 O y w m c X V v d D t T Z W N 0 a W 9 u M S 9 L R E 0 v Q X V 0 b 1 J l b W 9 2 Z W R D b 2 x 1 b W 5 z M S 5 7 S n V u a W 9 y Z W 4 g a 2 9 y c H M g M i w x M H 0 m c X V v d D s s J n F 1 b 3 Q 7 U 2 V j d G l v b j E v S 0 R N L 0 F 1 d G 9 S Z W 1 v d m V k Q 2 9 s d W 1 u c z E u e 0 F z c G l y Y W 5 0 Z W 4 g a 2 9 y c H M g M S w x M X 0 m c X V v d D s s J n F 1 b 3 Q 7 U 2 V j d G l v b j E v S 0 R N L 0 F 1 d G 9 S Z W 1 v d m V k Q 2 9 s d W 1 u c z E u e 0 F z c G l y Y W 5 0 Z W 4 g a 2 9 y c H M g M i w x M n 0 m c X V v d D s s J n F 1 b 3 Q 7 U 2 V j d G l v b j E v S 0 R N L 0 F 1 d G 9 S Z W 1 v d m V k Q 2 9 s d W 1 u c z E u e 0 F j c m 9 i Y X R p c 2 N o I H N l b m l v c m V u L D E z f S Z x d W 9 0 O y w m c X V v d D t T Z W N 0 a W 9 u M S 9 L R E 0 v Q X V 0 b 1 J l b W 9 2 Z W R D b 2 x 1 b W 5 z M S 5 7 Q W N y b 2 J h d G l z Y 2 g g a n V u a W 9 y Z W 4 s M T R 9 J n F 1 b 3 Q 7 L C Z x d W 9 0 O 1 N l Y 3 R p b 2 4 x L 0 t E T S 9 B d X R v U m V t b 3 Z l Z E N v b H V t b n M x L n t B Y 3 J v Y m F 0 a X N j a C B h c 3 B p c m F u d G V u L D E 1 f S Z x d W 9 0 O y w m c X V v d D t T Z W N 0 a W 9 u M S 9 L R E 0 v Q X V 0 b 1 J l b W 9 2 Z W R D b 2 x 1 b W 5 z M S 5 7 U 2 h v d y B z Z W 5 p b 3 J l b i w x N n 0 m c X V v d D s s J n F 1 b 3 Q 7 U 2 V j d G l v b j E v S 0 R N L 0 F 1 d G 9 S Z W 1 v d m V k Q 2 9 s d W 1 u c z E u e 1 N o b 3 c g a n V u a W 9 y Z W 4 s M T d 9 J n F 1 b 3 Q 7 L C Z x d W 9 0 O 1 N l Y 3 R p b 2 4 x L 0 t E T S 9 B d X R v U m V t b 3 Z l Z E N v b H V t b n M x L n t T a G 9 3 I G F z c G l y Y W 5 0 Z W 4 s M T h 9 J n F 1 b 3 Q 7 L C Z x d W 9 0 O 1 N l Y 3 R p b 2 4 x L 0 t E T S 9 B d X R v U m V t b 3 Z l Z E N v b H V t b n M x L n t T Z W 5 p b 3 J l b i B p b m R p d i 4 s M T l 9 J n F 1 b 3 Q 7 L C Z x d W 9 0 O 1 N l Y 3 R p b 2 4 x L 0 t E T S 9 B d X R v U m V t b 3 Z l Z E N v b H V t b n M x L n t K d W 5 p b 3 J l b i B p b m R p d i 4 s M j B 9 J n F 1 b 3 Q 7 L C Z x d W 9 0 O 1 N l Y 3 R p b 2 4 x L 0 t E T S 9 B d X R v U m V t b 3 Z l Z E N v b H V t b n M x L n t B c 3 B p c m F u d G V u I G l u Z G l 2 L i w y M X 0 m c X V v d D s s J n F 1 b 3 Q 7 U 2 V j d G l v b j E v S 0 R N L 0 F 1 d G 9 S Z W 1 v d m V k Q 2 9 s d W 1 u c z E u e 1 N l b i 4 g a W 5 k I G 9 w Z 2 V n Z X Z l b i B u Y W 1 l b i w y M n 0 m c X V v d D s s J n F 1 b 3 Q 7 U 2 V j d G l v b j E v S 0 R N L 0 F 1 d G 9 S Z W 1 v d m V k Q 2 9 s d W 1 u c z E u e 0 p 1 b i 4 g a W 5 k I G 9 w Z 2 V n Z X Z l b i B u Y W 1 l b i w y M 3 0 m c X V v d D s s J n F 1 b 3 Q 7 U 2 V j d G l v b j E v S 0 R N L 0 F 1 d G 9 S Z W 1 v d m V k Q 2 9 s d W 1 u c z E u e 0 F z c C 4 g a W 5 k I G 9 w Z 2 V n Z X Z l b i B u Y W 1 l b i w y N H 0 m c X V v d D s s J n F 1 b 3 Q 7 U 2 V j d G l v b j E v S 0 R N L 0 F 1 d G 9 S Z W 1 v d m V k Q 2 9 s d W 1 u c z E u e 0 h v b 2 Z k a 2 9 y c H M s M j V 9 J n F 1 b 3 Q 7 L C Z x d W 9 0 O 1 N l Y 3 R p b 2 4 x L 0 t E T S 9 B d X R v U m V t b 3 Z l Z E N v b H V t b n M x L n s y Z S B r b 3 J w c y w y N n 0 m c X V v d D s s J n F 1 b 3 Q 7 U 2 V j d G l v b j E v S 0 R N L 0 F 1 d G 9 S Z W 1 v d m V k Q 2 9 s d W 1 u c z E u e 0 d y b 2 V w Z W 4 s I H R l Y W 1 z L C B l b n N l b W J s Z X M g Z W 4 g Z H V v X H U w M D I 3 c y w y N 3 0 m c X V v d D s s J n F 1 b 3 Q 7 U 2 V j d G l v b j E v S 0 R N L 0 F 1 d G 9 S Z W 1 v d m V k Q 2 9 s d W 1 u c z E u e 1 N l b m l v c m V u L D I 4 f S Z x d W 9 0 O y w m c X V v d D t T Z W N 0 a W 9 u M S 9 L R E 0 v Q X V 0 b 1 J l b W 9 2 Z W R D b 2 x 1 b W 5 z M S 5 7 S m 9 u Z y B 2 b 2 x 3 Y X N z Z W 5 l L D I 5 f S Z x d W 9 0 O y w m c X V v d D t T Z W N 0 a W 9 u M S 9 L R E 0 v Q X V 0 b 1 J l b W 9 2 Z W R D b 2 x 1 b W 5 z M S 5 7 S n V u a W 9 y Z W 4 s M z B 9 J n F 1 b 3 Q 7 L C Z x d W 9 0 O 1 N l Y 3 R p b 2 4 x L 0 t E T S 9 B d X R v U m V t b 3 Z l Z E N v b H V t b n M x L n t B c 3 B p c m F u d G V u L D M x f S Z x d W 9 0 O y w m c X V v d D t T Z W N 0 a W 9 u M S 9 L R E 0 v Q X V 0 b 1 J l b W 9 2 Z W R D b 2 x 1 b W 5 z M S 5 7 T 3 B n Z W d l d m V u I H N l b m l v c m V u L D M y f S Z x d W 9 0 O y w m c X V v d D t T Z W N 0 a W 9 u M S 9 L R E 0 v Q X V 0 b 1 J l b W 9 2 Z W R D b 2 x 1 b W 5 z M S 5 7 T 3 B n Z W d l d m V u I G p v b m c g d m 9 s d 2 F z c 2 V u Z S w z M 3 0 m c X V v d D s s J n F 1 b 3 Q 7 U 2 V j d G l v b j E v S 0 R N L 0 F 1 d G 9 S Z W 1 v d m V k Q 2 9 s d W 1 u c z E u e 0 9 w Z 2 V n Z X Z l b i B q d W 5 p b 3 J l b i w z N H 0 m c X V v d D s s J n F 1 b 3 Q 7 U 2 V j d G l v b j E v S 0 R N L 0 F 1 d G 9 S Z W 1 v d m V k Q 2 9 s d W 1 u c z E u e 0 9 w Z 2 V n Z X Z l b i B h c 3 B p c m F u d G V u L D M 1 f S Z x d W 9 0 O y w m c X V v d D t T Z W N 0 a W 9 u M S 9 L R E 0 v Q X V 0 b 1 J l b W 9 2 Z W R D b 2 x 1 b W 5 z M S 5 7 T W F y a 2 V 0 Z W 5 0 c 3 R l c n M s M z Z 9 J n F 1 b 3 Q 7 L C Z x d W 9 0 O 1 N l Y 3 R p b 2 4 x L 0 t E T S 9 B d X R v U m V t b 3 Z l Z E N v b H V t b n M x L n t M d W N o d G d l d 2 V l c i w z N 3 0 m c X V v d D s s J n F 1 b 3 Q 7 U 2 V j d G l v b j E v S 0 R N L 0 F 1 d G 9 S Z W 1 v d m V k Q 2 9 s d W 1 u c z E u e 0 F h b n R h b C B s d W N o d G d l d 2 V l c n N j a H V 0 d G V y c y w z O H 0 m c X V v d D s s J n F 1 b 3 Q 7 U 2 V j d G l v b j E v S 0 R N L 0 F 1 d G 9 S Z W 1 v d m V k Q 2 9 s d W 1 u c z E u e 0 x 1 Y 2 h 0 c G l z d G 9 v b C w z O X 0 m c X V v d D s s J n F 1 b 3 Q 7 U 2 V j d G l v b j E v S 0 R N L 0 F 1 d G 9 S Z W 1 v d m V k Q 2 9 s d W 1 u c z E u e 0 F h b n R h b C B s d W N o d H B p c 3 R v b 2 x z Y 2 h 1 d H R l c n M s N D B 9 J n F 1 b 3 Q 7 L C Z x d W 9 0 O 1 N l Y 3 R p b 2 4 x L 0 t E T S 9 B d X R v U m V t b 3 Z l Z E N v b H V t b n M x L n t I Y W 5 k Y m 9 v Z y w 0 M X 0 m c X V v d D s s J n F 1 b 3 Q 7 U 2 V j d G l v b j E v S 0 R N L 0 F 1 d G 9 S Z W 1 v d m V k Q 2 9 s d W 1 u c z E u e 0 F h b n R h b C B o Y W 5 k Y m 9 v Z 3 N j a H V 0 d G V y c y w 0 M n 0 m c X V v d D s s J n F 1 b 3 Q 7 U 2 V j d G l v b j E v S 0 R N L 0 F 1 d G 9 S Z W 1 v d m V k Q 2 9 s d W 1 u c z E u e 0 t y d W l z Y m 9 v Z y w 0 M 3 0 m c X V v d D s s J n F 1 b 3 Q 7 U 2 V j d G l v b j E v S 0 R N L 0 F 1 d G 9 S Z W 1 v d m V k Q 2 9 s d W 1 u c z E u e 0 F h b n R h b C B r c n V p c 2 J v b 2 d z Y 2 h 1 d H R l c n M s N D R 9 J n F 1 b 3 Q 7 L C Z x d W 9 0 O 1 N l Y 3 R p b 2 4 x L 0 t E T S 9 B d X R v U m V t b 3 Z l Z E N v b H V t b n M x L n t M d W N o d G d l d 2 V l c i B q Z X V n Z C B u a W V 0 I G 9 1 Z G V y I G R h b i A x N y B q Y W F y L i w 0 N X 0 m c X V v d D s s J n F 1 b 3 Q 7 U 2 V j d G l v b j E v S 0 R N L 0 F 1 d G 9 S Z W 1 v d m V k Q 2 9 s d W 1 u c z E u e 0 F h b n R h b C B r b 3 J w c 2 V u L D Q 2 f S Z x d W 9 0 O y w m c X V v d D t T Z W N 0 a W 9 u M S 9 L R E 0 v Q X V 0 b 1 J l b W 9 2 Z W R D b 2 x 1 b W 5 z M S 5 7 T 3 B n Z W d l d m V u I G p l d W d k a 2 9 y c H N l b i B M R y w 0 N 3 0 m c X V v d D s s J n F 1 b 3 Q 7 U 2 V j d G l v b j E v S 0 R N L 0 F 1 d G 9 S Z W 1 v d m V k Q 2 9 s d W 1 u c z E u e 1 R v d G F h b C B h Y W 5 0 Y W w g Z G V l b G 5 l b W V y c y w 0 O H 0 m c X V v d D s s J n F 1 b 3 Q 7 U 2 V j d G l v b j E v S 0 R N L 0 F 1 d G 9 S Z W 1 v d m V k Q 2 9 s d W 1 u c z E u e 1 d h Y X J 2 Y W 4 g Y W F u d G F s I G p l d W d k I C h 0 L 2 0 g M T U g a m F h c i k s N D l 9 J n F 1 b 3 Q 7 L C Z x d W 9 0 O 1 N l Y 3 R p b 2 4 x L 0 t E T S 9 B d X R v U m V t b 3 Z l Z E N v b H V t b n M x L n t L Y W 5 v b i B l d G M u L D U w f S Z x d W 9 0 O y w m c X V v d D t T Z W N 0 a W 9 u M S 9 L R E 0 v Q X V 0 b 1 J l b W 9 2 Z W R D b 2 x 1 b W 5 z M S 5 7 U G F h c m R l b i B l b i 9 v Z i B r b 2 V 0 c 2 V u L D U x f S Z x d W 9 0 O y w m c X V v d D t T Z W N 0 a W 9 u M S 9 L R E 0 v Q X V 0 b 1 J l b W 9 2 Z W R D b 2 x 1 b W 5 z M S 5 7 V G 9 l b G l j a H R p b m c v b 3 B t Z X J r a W 5 n Z W 4 s N T J 9 J n F 1 b 3 Q 7 L C Z x d W 9 0 O 1 N l Y 3 R p b 2 4 x L 0 t E T S 9 B d X R v U m V t b 3 Z l Z E N v b H V t b n M x L n t J b n p l b m R p b m c t S U Q s N T N 9 J n F 1 b 3 Q 7 L C Z x d W 9 0 O 1 N l Y 3 R p b 2 4 x L 0 t E T S 9 B d X R v U m V t b 3 Z l Z E N v b H V t b n M x L n t J b n p l b m R k Y X R 1 b S w 1 N H 0 m c X V v d D s s J n F 1 b 3 Q 7 U 2 V j d G l v b j E v S 0 R N L 0 F 1 d G 9 S Z W 1 v d m V k Q 2 9 s d W 1 u c z E u e 0 R h d G U g V X B k Y X R l Z C w 1 N X 0 m c X V v d D s s J n F 1 b 3 Q 7 U 2 V j d G l v b j E v S 0 R N L 0 F 1 d G 9 S Z W 1 v d m V k Q 2 9 s d W 1 u c z E u e 0 5 h Y W 0 g d m F u I G h l d C B o b 2 9 m Z G t v c n B z L D U 2 f S Z x d W 9 0 O y w m c X V v d D t T Z W N 0 a W 9 u M S 9 L R E 0 v Q X V 0 b 1 J l b W 9 2 Z W R D b 2 x 1 b W 5 z M S 5 7 W m F s I G 9 w I H R y Z W R l b i B h b H M g K G h v b 2 Z k a 2 9 y c H M p L D U 3 f S Z x d W 9 0 O y w m c X V v d D t T Z W N 0 a W 9 u M S 9 L R E 0 v Q X V 0 b 1 J l b W 9 2 Z W R D b 2 x 1 b W 5 z M S 5 7 V m 9 y b S B 2 Y W 4 g d H d l Z S B t d X p p Z W t 3 Z X J r Z W 4 g K G h v b 2 Z k a 2 9 y c H M p L D U 4 f S Z x d W 9 0 O y w m c X V v d D t T Z W N 0 a W 9 u M S 9 L R E 0 v Q X V 0 b 1 J l b W 9 2 Z W R D b 2 x 1 b W 5 z M S 5 7 W m F s I H V p d G t v b W V u I G l u I G R l O i A o a G 9 v Z m R r b 3 J w c y k s N T l 9 J n F 1 b 3 Q 7 L C Z x d W 9 0 O 1 N l Y 3 R p b 2 4 x L 0 t E T S 9 B d X R v U m V t b 3 Z l Z E N v b H V t b n M x L n t N d X p p Z W t 3 Z X J r M S A o a G 9 v Z m R r b 3 J w c y k s N j B 9 J n F 1 b 3 Q 7 L C Z x d W 9 0 O 1 N l Y 3 R p b 2 4 x L 0 t E T S 9 B d X R v U m V t b 3 Z l Z E N v b H V t b n M x L n t N d X p p Z W t 3 Z X J r M i A o a G 9 v Z m R r b 3 J w c y k s N j F 9 J n F 1 b 3 Q 7 L C Z x d W 9 0 O 1 N l Y 3 R p b 2 4 x L 0 t E T S 9 B d X R v U m V t b 3 Z l Z E N v b H V t b n M x L n t L b 3 J w c y B i Z X N 0 Y W F 0 I H V p d C A u L i 4 g Z G V l b G 5 l b W V y c y A o a G 9 v Z m R r b 3 J w c y k s N j J 9 J n F 1 b 3 Q 7 L C Z x d W 9 0 O 1 N l Y 3 R p b 2 4 x L 0 t E T S 9 B d X R v U m V t b 3 Z l Z E N v b H V t b n M x L n t O Y W F t I H Z h b i B o Z X Q g M m U g a 2 9 y c H M s N j N 9 J n F 1 b 3 Q 7 L C Z x d W 9 0 O 1 N l Y 3 R p b 2 4 x L 0 t E T S 9 B d X R v U m V t b 3 Z l Z E N v b H V t b n M x L n t a Y W w g b 3 A g d H J l Z G V u I G F s c y A o M m U g a 2 9 y c H M p L D Y 0 f S Z x d W 9 0 O y w m c X V v d D t T Z W N 0 a W 9 u M S 9 L R E 0 v Q X V 0 b 1 J l b W 9 2 Z W R D b 2 x 1 b W 5 z M S 5 7 V m 9 y b S B 2 Y W 4 g d H d l Z S B t d X p p Z W t 3 Z X J r Z W 4 g K D J l I G t v c n B z K S w 2 N X 0 m c X V v d D s s J n F 1 b 3 Q 7 U 2 V j d G l v b j E v S 0 R N L 0 F 1 d G 9 S Z W 1 v d m V k Q 2 9 s d W 1 u c z E u e 1 p h b C B 1 a X R r b 2 1 l b i B p b i B k Z T o g K D J l I G t v c n B z K S w 2 N n 0 m c X V v d D s s J n F 1 b 3 Q 7 U 2 V j d G l v b j E v S 0 R N L 0 F 1 d G 9 S Z W 1 v d m V k Q 2 9 s d W 1 u c z E u e 0 1 1 e m l l a 3 d l c m s x I C g y Z S B r b 3 J w c y k s N j d 9 J n F 1 b 3 Q 7 L C Z x d W 9 0 O 1 N l Y 3 R p b 2 4 x L 0 t E T S 9 B d X R v U m V t b 3 Z l Z E N v b H V t b n M x L n t N d X p p Z W t 3 Z X J r M i A o M m U g a 2 9 y c H M p L D Y 4 f S Z x d W 9 0 O y w m c X V v d D t T Z W N 0 a W 9 u M S 9 L R E 0 v Q X V 0 b 1 J l b W 9 2 Z W R D b 2 x 1 b W 5 z M S 5 7 S 2 9 y c H M g Y m V z d G F h d C B 1 a X Q g L i 4 u I G R l Z W x u Z W 1 l c n M g K D J l I G t v c n B z K S w 2 O X 0 m c X V v d D s s J n F 1 b 3 Q 7 U 2 V j d G l v b j E v S 0 R N L 0 F 1 d G 9 S Z W 1 v d m V k Q 2 9 s d W 1 u c z E u e 0 1 l Y 2 h h b m l z Y 2 h l I G 1 1 e m l l a y w 3 M H 0 m c X V v d D s s J n F 1 b 3 Q 7 U 2 V j d G l v b j E v S 0 R N L 0 F 1 d G 9 S Z W 1 v d m V k Q 2 9 s d W 1 u c z E u e 0 9 u Z G V y Z G V s Z W 4 s N z F 9 J n F 1 b 3 Q 7 L C Z x d W 9 0 O 1 N l Y 3 R p b 2 4 x L 0 t E T S 9 B d X R v U m V t b 3 Z l Z E N v b H V t b n M x L n t T Z W N 0 a W V z L D c y f S Z x d W 9 0 O y w m c X V v d D t T Z W N 0 a W 9 u M S 9 L R E 0 v Q X V 0 b 1 J l b W 9 2 Z W R D b 2 x 1 b W 5 z M S 5 7 T G V l Z n R p a m R z Y 2 F 0 Z W d v c m l l L D c z f S Z x d W 9 0 O y w m c X V v d D t T Z W N 0 a W 9 u M S 9 L R E 0 v Q X V 0 b 1 J l b W 9 2 Z W R D b 2 x 1 b W 5 z M S 5 7 Q W F u d G F s I G 9 w Z 2 V n Z X Z l b i B t Y W p v c m V 0 d G V z L D c 0 f S Z x d W 9 0 O 1 0 s J n F 1 b 3 Q 7 U m V s Y X R p b 2 5 z a G l w S W 5 m b y Z x d W 9 0 O z p b X X 0 i I C 8 + P E V u d H J 5 I F R 5 c G U 9 I k F k Z G V k V G 9 E Y X R h T W 9 k Z W w i I F Z h b H V l P S J s M C I g L z 4 8 L 1 N 0 Y W J s Z U V u d H J p Z X M + P C 9 J d G V t P j x J d G V t P j x J d G V t T G 9 j Y X R p b 2 4 + P E l 0 Z W 1 U e X B l P k Z v c m 1 1 b G E 8 L 0 l 0 Z W 1 U e X B l P j x J d G V t U G F 0 a D 5 T Z W N 0 a W 9 u M S 9 L R E w 8 L 0 l 0 Z W 1 Q Y X R o P j w v S X R l b U x v Y 2 F 0 a W 9 u P j x T d G F i b G V F b n R y a W V z P j x F b n R y e S B U e X B l P S J O Y X Z p Z 2 F 0 a W 9 u U 3 R l c E 5 h b W U i I F Z h b H V l P S J z T m F 2 a W d h d G l l I i A v P j x F b n R y e S B U e X B l P S J G a W x s R W 5 h Y m x l Z C I g V m F s d W U 9 I m w x I i A v P j x F b n R y e S B U e X B l P S J G a W x s Z W R D b 2 1 w b G V 0 Z V J l c 3 V s d F R v V 2 9 y a 3 N o Z W V 0 I i B W Y W x 1 Z T 0 i b D E i I C 8 + P E V u d H J 5 I F R 5 c G U 9 I k Z p b G x U b 0 R h d G F N b 2 R l b E V u Y W J s Z W Q i I F Z h b H V l P S J s M C I g L z 4 8 R W 5 0 c n k g V H l w Z T 0 i S X N Q c m l 2 Y X R l I i B W Y W x 1 Z T 0 i b D A i I C 8 + P E V u d H J 5 I F R 5 c G U 9 I l F 1 Z X J 5 S U Q i I F Z h b H V l P S J z O D Y 1 N z E 5 Y W M t O W M 4 Z i 0 0 O W Z m L T h i O T k t O T Y z M m F m N 2 M y M W Z k I i A v P j x F b n R y e S B U e X B l P S J O Y W 1 l V X B k Y X R l Z E F m d G V y R m l s b C I g V m F s d W U 9 I m w w I i A v P j x F b n R y e S B U e X B l P S J C d W Z m Z X J O Z X h 0 U m V m c m V z a C I g V m F s d W U 9 I m w x I i A v P j x F b n R y e S B U e X B l P S J G a W x s T 2 J q Z W N 0 V H l w Z S I g V m F s d W U 9 I n N U Y W J s Z S I g L z 4 8 R W 5 0 c n k g V H l w Z T 0 i U m V z d W x 0 V H l w Z S I g V m F s d W U 9 I n N U Y W J s Z S I g L z 4 8 R W 5 0 c n k g V H l w Z T 0 i T G 9 h Z G V k V G 9 B b m F s e X N p c 1 N l c n Z p Y 2 V z I i B W Y W x 1 Z T 0 i b D A i I C 8 + P E V u d H J 5 I F R 5 c G U 9 I k Z p b G x U Y X J n Z X Q i I F Z h b H V l P S J z S 0 R M I i A v P j x F b n R y e S B U e X B l P S J S Z W N v d m V y e V R h c m d l d F N o Z W V 0 I i B W Y W x 1 Z T 0 i c 0 t E T C I g L z 4 8 R W 5 0 c n k g V H l w Z T 0 i U m V j b 3 Z l c n l U Y X J n Z X R D b 2 x 1 b W 4 i I F Z h b H V l P S J s M S I g L z 4 8 R W 5 0 c n k g V H l w Z T 0 i U m V j b 3 Z l c n l U Y X J n Z X R S b 3 c i I F Z h b H V l P S J s M T A i I C 8 + P E V u d H J 5 I F R 5 c G U 9 I k x v Y W R U b 1 J l c G 9 y d E R p c 2 F i b G V k I i B W Y W x 1 Z T 0 i b D A i I C 8 + P E V u d H J 5 I F R 5 c G U 9 I k Z p b G x M Y X N 0 V X B k Y X R l Z C I g V m F s d W U 9 I m Q y M D I 1 L T A x L T A x V D E 4 O j A 1 O j I y L j g 2 O D k 3 O T B a I i A v P j x F b n R y e S B U e X B l P S J G a W x s Q 2 9 s d W 1 u V H l w Z X M i I F Z h b H V l P S J z Q m d Z R 0 J n W U d C Z 1 l E Q X d N R E F 3 T U R B d 1 l H Q m d N R E F 3 T U R B d 1 l H Q X d N R E F 3 T U R B d 0 1 E Q m d Z R E J n T U d B d 1 l E Q m d N R E F 3 T U d C Z 1 l E Q n d j R 0 J n W U d C Z 1 l E Q m d Z R 0 J n W U d B d 1 l H Q m d Z R C I g L z 4 8 R W 5 0 c n k g V H l w Z T 0 i R m l s b E V y c m 9 y Q 2 9 1 b n Q i I F Z h b H V l P S J s M C I g L z 4 8 R W 5 0 c n k g V H l w Z T 0 i R m l s b E N v b H V t b k 5 h b W V z I i B W Y W x 1 Z T 0 i c 1 s m c X V v d D t L c m l u Z 2 R h Z y Z x d W 9 0 O y w m c X V v d D t W Z X I u b n I m c X V v d D s s J n F 1 b 3 Q 7 T m F h b S B 2 Z X J l b m l n a W 5 n J n F 1 b 3 Q 7 L C Z x d W 9 0 O 0 R l b G V n Y X R p Z S Z x d W 9 0 O y w m c X V v d D t N d X p p Z W t r b 3 J w c y B i a W o g b W F y c y B l b i B k Z W Z p b F x 1 M D B F O S Z x d W 9 0 O y w m c X V v d D t E Z W V s b i 4 g a m V 1 Z 2 R r b 2 5 p b m d z Y 2 h p Z X R l b i Z x d W 9 0 O y w m c X V v d D t N Y W o u I F N l b m l v c m V u I G p 1 c m V y Z W 4 g Y m l q I G 1 h c n M m c X V v d D s s J n F 1 b 3 Q 7 T W F q L i B K Z X V n Z C B q d X J l c m V u I G J p a i B t Y X J z J n F 1 b 3 Q 7 L C Z x d W 9 0 O 0 t v c n B z I H N l b m l v c m V u J n F 1 b 3 Q 7 L C Z x d W 9 0 O 0 p 1 b m l v c m V u I G t v c n B z I D E m c X V v d D s s J n F 1 b 3 Q 7 S n V u a W 9 y Z W 4 g a 2 9 y c H M g M i Z x d W 9 0 O y w m c X V v d D t B c 3 B p c m F u d G V u I G t v c n B z I D E m c X V v d D s s J n F 1 b 3 Q 7 Q X N w a X J h b n R l b i B r b 3 J w c y A y J n F 1 b 3 Q 7 L C Z x d W 9 0 O 0 F j c m 9 i Y X R p c 2 N o I H N l b m l v c m V u J n F 1 b 3 Q 7 L C Z x d W 9 0 O 0 F j c m 9 i Y X R p c 2 N o I G p 1 b m l v c m V u J n F 1 b 3 Q 7 L C Z x d W 9 0 O 0 F j c m 9 i Y X R p c 2 N o I G F z c G l y Y W 5 0 Z W 4 m c X V v d D s s J n F 1 b 3 Q 7 U 2 h v d y B z Z W 5 p b 3 J l b i Z x d W 9 0 O y w m c X V v d D t T a G 9 3 I G p 1 b m l v c m V u J n F 1 b 3 Q 7 L C Z x d W 9 0 O 1 N o b 3 c g Y X N w a X J h b n R l b i Z x d W 9 0 O y w m c X V v d D t T Z W 5 p b 3 J l b i B p b m R p d i 4 m c X V v d D s s J n F 1 b 3 Q 7 S n V u a W 9 y Z W 4 g a W 5 k a X Y u J n F 1 b 3 Q 7 L C Z x d W 9 0 O 0 F z c G l y Y W 5 0 Z W 4 g a W 5 k a X Y u J n F 1 b 3 Q 7 L C Z x d W 9 0 O 1 N l b i 4 g a W 5 k I G 9 w Z 2 V n Z X Z l b i B u Y W 1 l b i Z x d W 9 0 O y w m c X V v d D t K d W 4 u I G l u Z C B v c G d l Z 2 V 2 Z W 4 g b m F t Z W 4 m c X V v d D s s J n F 1 b 3 Q 7 Q X N w L i B p b m Q g b 3 B n Z W d l d m V u I G 5 h b W V u J n F 1 b 3 Q 7 L C Z x d W 9 0 O 0 h v b 2 Z k a 2 9 y c H M m c X V v d D s s J n F 1 b 3 Q 7 M m U g a 2 9 y c H M m c X V v d D s s J n F 1 b 3 Q 7 R 3 J v Z X B l b i w g d G V h b X M s I G V u c 2 V t Y m x l c y B l b i B k d W 9 c d T A w M j d z J n F 1 b 3 Q 7 L C Z x d W 9 0 O 1 N l b m l v c m V u J n F 1 b 3 Q 7 L C Z x d W 9 0 O 0 p v b m c g d m 9 s d 2 F z c 2 V u Z S Z x d W 9 0 O y w m c X V v d D t K d W 5 p b 3 J l b i Z x d W 9 0 O y w m c X V v d D t B c 3 B p c m F u d G V u J n F 1 b 3 Q 7 L C Z x d W 9 0 O 0 9 w Z 2 V n Z X Z l b i B z Z W 5 p b 3 J l b i Z x d W 9 0 O y w m c X V v d D t P c G d l Z 2 V 2 Z W 4 g a m 9 u Z y B 2 b 2 x 3 Y X N z Z W 5 l J n F 1 b 3 Q 7 L C Z x d W 9 0 O 0 9 w Z 2 V n Z X Z l b i B q d W 5 p b 3 J l b i Z x d W 9 0 O y w m c X V v d D t P c G d l Z 2 V 2 Z W 4 g Y X N w a X J h b n R l b i Z x d W 9 0 O y w m c X V v d D t N Y X J r Z X R l b n R z d G V y c y Z x d W 9 0 O y w m c X V v d D t M d W N o d G d l d 2 V l c i Z x d W 9 0 O y w m c X V v d D t B Y W 5 0 Y W w g b H V j a H R n Z X d l Z X J z Y 2 h 1 d H R l c n M m c X V v d D s s J n F 1 b 3 Q 7 T H V j a H R w a X N 0 b 2 9 s J n F 1 b 3 Q 7 L C Z x d W 9 0 O 0 F h b n R h b C B s d W N o d H B p c 3 R v b 2 x z Y 2 h 1 d H R l c n M m c X V v d D s s J n F 1 b 3 Q 7 S G F u Z G J v b 2 c m c X V v d D s s J n F 1 b 3 Q 7 Q W F u d G F s I G h h b m R i b 2 9 n c 2 N o d X R 0 Z X J z J n F 1 b 3 Q 7 L C Z x d W 9 0 O 0 t y d W l z Y m 9 v Z y Z x d W 9 0 O y w m c X V v d D t B Y W 5 0 Y W w g a 3 J 1 a X N i b 2 9 n c 2 N o d X R 0 Z X J z J n F 1 b 3 Q 7 L C Z x d W 9 0 O 0 x 1 Y 2 h 0 Z 2 V 3 Z W V y I G p l d W d k I G 5 p Z X Q g b 3 V k Z X I g Z G F u I D E 3 I G p h Y X I u J n F 1 b 3 Q 7 L C Z x d W 9 0 O 0 F h b n R h b C B r b 3 J w c 2 V u J n F 1 b 3 Q 7 L C Z x d W 9 0 O 0 9 w Z 2 V n Z X Z l b i B q Z X V n Z G t v c n B z Z W 4 g T E c m c X V v d D s s J n F 1 b 3 Q 7 V G 9 0 Y W F s I G F h b n R h b C B k Z W V s b m V t Z X J z J n F 1 b 3 Q 7 L C Z x d W 9 0 O 1 d h Y X J 2 Y W 4 g Y W F u d G F s I G p l d W d k I C h 0 L 2 0 g M T U g a m F h c i k m c X V v d D s s J n F 1 b 3 Q 7 S 2 F u b 2 4 g Z X R j L i Z x d W 9 0 O y w m c X V v d D t Q Y W F y Z G V u I G V u L 2 9 m I G t v Z X R z Z W 4 m c X V v d D s s J n F 1 b 3 Q 7 V G 9 l b G l j a H R p b m c v b 3 B t Z X J r a W 5 n Z W 4 m c X V v d D s s J n F 1 b 3 Q 7 S W 5 6 Z W 5 k a W 5 n L U l E J n F 1 b 3 Q 7 L C Z x d W 9 0 O 0 l u e m V u Z G R h d H V t J n F 1 b 3 Q 7 L C Z x d W 9 0 O 0 R h d G U g V X B k Y X R l Z C Z x d W 9 0 O y w m c X V v d D t O Y W F t I H Z h b i B o Z X Q g a G 9 v Z m R r b 3 J w c y Z x d W 9 0 O y w m c X V v d D t a Y W w g b 3 A g d H J l Z G V u I G F s c y A o a G 9 v Z m R r b 3 J w c y k m c X V v d D s s J n F 1 b 3 Q 7 V m 9 y b S B 2 Y W 4 g d H d l Z S B t d X p p Z W t 3 Z X J r Z W 4 g K G h v b 2 Z k a 2 9 y c H M p J n F 1 b 3 Q 7 L C Z x d W 9 0 O 1 p h b C B 1 a X R r b 2 1 l b i B p b i B k Z T o g K G h v b 2 Z k a 2 9 y c H M p J n F 1 b 3 Q 7 L C Z x d W 9 0 O 0 1 1 e m l l a 3 d l c m s x I C h o b 2 9 m Z G t v c n B z K S Z x d W 9 0 O y w m c X V v d D t N d X p p Z W t 3 Z X J r M i A o a G 9 v Z m R r b 3 J w c y k m c X V v d D s s J n F 1 b 3 Q 7 S 2 9 y c H M g Y m V z d G F h d C B 1 a X Q g L i 4 u I G R l Z W x u Z W 1 l c n M g K G h v b 2 Z k a 2 9 y c H M p J n F 1 b 3 Q 7 L C Z x d W 9 0 O 0 5 h Y W 0 g d m F u I G h l d C A y Z S B r b 3 J w c y Z x d W 9 0 O y w m c X V v d D t a Y W w g b 3 A g d H J l Z G V u I G F s c y A o M m U g a 2 9 y c H M p J n F 1 b 3 Q 7 L C Z x d W 9 0 O 1 Z v c m 0 g d m F u I H R 3 Z W U g b X V 6 a W V r d 2 V y a 2 V u I C g y Z S B r b 3 J w c y k m c X V v d D s s J n F 1 b 3 Q 7 W m F s I H V p d G t v b W V u I G l u I G R l O i A o M m U g a 2 9 y c H M p J n F 1 b 3 Q 7 L C Z x d W 9 0 O 0 1 1 e m l l a 3 d l c m s x I C g y Z S B r b 3 J w c y k m c X V v d D s s J n F 1 b 3 Q 7 T X V 6 a W V r d 2 V y a z I g K D J l I G t v c n B z K S Z x d W 9 0 O y w m c X V v d D t L b 3 J w c y B i Z X N 0 Y W F 0 I H V p d C A u L i 4 g Z G V l b G 5 l b W V y c y A o M m U g a 2 9 y c H M p J n F 1 b 3 Q 7 L C Z x d W 9 0 O 0 1 l Y 2 h h b m l z Y 2 h l I G 1 1 e m l l a y Z x d W 9 0 O y w m c X V v d D t P b m R l c m R l b G V u J n F 1 b 3 Q 7 L C Z x d W 9 0 O 1 N l Y 3 R p Z X M m c X V v d D s s J n F 1 b 3 Q 7 T G V l Z n R p a m R z Y 2 F 0 Z W d v c m l l J n F 1 b 3 Q 7 L C Z x d W 9 0 O 0 F h b n R h b C B v c G d l Z 2 V 2 Z W 4 g b W F q b 3 J l d H R l c y Z x d W 9 0 O 1 0 i I C 8 + P E V u d H J 5 I F R 5 c G U 9 I k Z p b G x F c n J v c k N v Z G U i I F Z h b H V l P S J z V W 5 r b m 9 3 b i I g L z 4 8 R W 5 0 c n k g V H l w Z T 0 i R m l s b F N 0 Y X R 1 c y I g V m F s d W U 9 I n N D b 2 1 w b G V 0 Z S I g L z 4 8 R W 5 0 c n k g V H l w Z T 0 i R m l s b E N v d W 5 0 I i B W Y W x 1 Z T 0 i b D I w I i A v P j x F b n R y e S B U e X B l P S J S Z W x h d G l v b n N o a X B J b m Z v Q 2 9 u d G F p b m V y I i B W Y W x 1 Z T 0 i c 3 s m c X V v d D t j b 2 x 1 b W 5 D b 3 V u d C Z x d W 9 0 O z o 3 N S w m c X V v d D t r Z X l D b 2 x 1 b W 5 O Y W 1 l c y Z x d W 9 0 O z p b X S w m c X V v d D t x d W V y e V J l b G F 0 a W 9 u c 2 h p c H M m c X V v d D s 6 W 1 0 s J n F 1 b 3 Q 7 Y 2 9 s d W 1 u S W R l b n R p d G l l c y Z x d W 9 0 O z p b J n F 1 b 3 Q 7 U 2 V j d G l v b j E v S 0 R M L 0 F 1 d G 9 S Z W 1 v d m V k Q 2 9 s d W 1 u c z E u e 0 t y a W 5 n Z G F n L D B 9 J n F 1 b 3 Q 7 L C Z x d W 9 0 O 1 N l Y 3 R p b 2 4 x L 0 t E T C 9 B d X R v U m V t b 3 Z l Z E N v b H V t b n M x L n t W Z X I u b n I s M X 0 m c X V v d D s s J n F 1 b 3 Q 7 U 2 V j d G l v b j E v S 0 R M L 0 F 1 d G 9 S Z W 1 v d m V k Q 2 9 s d W 1 u c z E u e 0 5 h Y W 0 g d m V y Z W 5 p Z 2 l u Z y w y f S Z x d W 9 0 O y w m c X V v d D t T Z W N 0 a W 9 u M S 9 L R E w v Q X V 0 b 1 J l b W 9 2 Z W R D b 2 x 1 b W 5 z M S 5 7 R G V s Z W d h d G l l L D N 9 J n F 1 b 3 Q 7 L C Z x d W 9 0 O 1 N l Y 3 R p b 2 4 x L 0 t E T C 9 B d X R v U m V t b 3 Z l Z E N v b H V t b n M x L n t N d X p p Z W t r b 3 J w c y B i a W o g b W F y c y B l b i B k Z W Z p b F x 1 M D B F O S w 0 f S Z x d W 9 0 O y w m c X V v d D t T Z W N 0 a W 9 u M S 9 L R E w v Q X V 0 b 1 J l b W 9 2 Z W R D b 2 x 1 b W 5 z M S 5 7 R G V l b G 4 u I G p l d W d k a 2 9 u a W 5 n c 2 N o a W V 0 Z W 4 s N X 0 m c X V v d D s s J n F 1 b 3 Q 7 U 2 V j d G l v b j E v S 0 R M L 0 F 1 d G 9 S Z W 1 v d m V k Q 2 9 s d W 1 u c z E u e 0 1 h a i 4 g U 2 V u a W 9 y Z W 4 g a n V y Z X J l b i B i a W o g b W F y c y w 2 f S Z x d W 9 0 O y w m c X V v d D t T Z W N 0 a W 9 u M S 9 L R E w v Q X V 0 b 1 J l b W 9 2 Z W R D b 2 x 1 b W 5 z M S 5 7 T W F q L i B K Z X V n Z C B q d X J l c m V u I G J p a i B t Y X J z L D d 9 J n F 1 b 3 Q 7 L C Z x d W 9 0 O 1 N l Y 3 R p b 2 4 x L 0 t E T C 9 B d X R v U m V t b 3 Z l Z E N v b H V t b n M x L n t L b 3 J w c y B z Z W 5 p b 3 J l b i w 4 f S Z x d W 9 0 O y w m c X V v d D t T Z W N 0 a W 9 u M S 9 L R E w v Q X V 0 b 1 J l b W 9 2 Z W R D b 2 x 1 b W 5 z M S 5 7 S n V u a W 9 y Z W 4 g a 2 9 y c H M g M S w 5 f S Z x d W 9 0 O y w m c X V v d D t T Z W N 0 a W 9 u M S 9 L R E w v Q X V 0 b 1 J l b W 9 2 Z W R D b 2 x 1 b W 5 z M S 5 7 S n V u a W 9 y Z W 4 g a 2 9 y c H M g M i w x M H 0 m c X V v d D s s J n F 1 b 3 Q 7 U 2 V j d G l v b j E v S 0 R M L 0 F 1 d G 9 S Z W 1 v d m V k Q 2 9 s d W 1 u c z E u e 0 F z c G l y Y W 5 0 Z W 4 g a 2 9 y c H M g M S w x M X 0 m c X V v d D s s J n F 1 b 3 Q 7 U 2 V j d G l v b j E v S 0 R M L 0 F 1 d G 9 S Z W 1 v d m V k Q 2 9 s d W 1 u c z E u e 0 F z c G l y Y W 5 0 Z W 4 g a 2 9 y c H M g M i w x M n 0 m c X V v d D s s J n F 1 b 3 Q 7 U 2 V j d G l v b j E v S 0 R M L 0 F 1 d G 9 S Z W 1 v d m V k Q 2 9 s d W 1 u c z E u e 0 F j c m 9 i Y X R p c 2 N o I H N l b m l v c m V u L D E z f S Z x d W 9 0 O y w m c X V v d D t T Z W N 0 a W 9 u M S 9 L R E w v Q X V 0 b 1 J l b W 9 2 Z W R D b 2 x 1 b W 5 z M S 5 7 Q W N y b 2 J h d G l z Y 2 g g a n V u a W 9 y Z W 4 s M T R 9 J n F 1 b 3 Q 7 L C Z x d W 9 0 O 1 N l Y 3 R p b 2 4 x L 0 t E T C 9 B d X R v U m V t b 3 Z l Z E N v b H V t b n M x L n t B Y 3 J v Y m F 0 a X N j a C B h c 3 B p c m F u d G V u L D E 1 f S Z x d W 9 0 O y w m c X V v d D t T Z W N 0 a W 9 u M S 9 L R E w v Q X V 0 b 1 J l b W 9 2 Z W R D b 2 x 1 b W 5 z M S 5 7 U 2 h v d y B z Z W 5 p b 3 J l b i w x N n 0 m c X V v d D s s J n F 1 b 3 Q 7 U 2 V j d G l v b j E v S 0 R M L 0 F 1 d G 9 S Z W 1 v d m V k Q 2 9 s d W 1 u c z E u e 1 N o b 3 c g a n V u a W 9 y Z W 4 s M T d 9 J n F 1 b 3 Q 7 L C Z x d W 9 0 O 1 N l Y 3 R p b 2 4 x L 0 t E T C 9 B d X R v U m V t b 3 Z l Z E N v b H V t b n M x L n t T a G 9 3 I G F z c G l y Y W 5 0 Z W 4 s M T h 9 J n F 1 b 3 Q 7 L C Z x d W 9 0 O 1 N l Y 3 R p b 2 4 x L 0 t E T C 9 B d X R v U m V t b 3 Z l Z E N v b H V t b n M x L n t T Z W 5 p b 3 J l b i B p b m R p d i 4 s M T l 9 J n F 1 b 3 Q 7 L C Z x d W 9 0 O 1 N l Y 3 R p b 2 4 x L 0 t E T C 9 B d X R v U m V t b 3 Z l Z E N v b H V t b n M x L n t K d W 5 p b 3 J l b i B p b m R p d i 4 s M j B 9 J n F 1 b 3 Q 7 L C Z x d W 9 0 O 1 N l Y 3 R p b 2 4 x L 0 t E T C 9 B d X R v U m V t b 3 Z l Z E N v b H V t b n M x L n t B c 3 B p c m F u d G V u I G l u Z G l 2 L i w y M X 0 m c X V v d D s s J n F 1 b 3 Q 7 U 2 V j d G l v b j E v S 0 R M L 0 F 1 d G 9 S Z W 1 v d m V k Q 2 9 s d W 1 u c z E u e 1 N l b i 4 g a W 5 k I G 9 w Z 2 V n Z X Z l b i B u Y W 1 l b i w y M n 0 m c X V v d D s s J n F 1 b 3 Q 7 U 2 V j d G l v b j E v S 0 R M L 0 F 1 d G 9 S Z W 1 v d m V k Q 2 9 s d W 1 u c z E u e 0 p 1 b i 4 g a W 5 k I G 9 w Z 2 V n Z X Z l b i B u Y W 1 l b i w y M 3 0 m c X V v d D s s J n F 1 b 3 Q 7 U 2 V j d G l v b j E v S 0 R M L 0 F 1 d G 9 S Z W 1 v d m V k Q 2 9 s d W 1 u c z E u e 0 F z c C 4 g a W 5 k I G 9 w Z 2 V n Z X Z l b i B u Y W 1 l b i w y N H 0 m c X V v d D s s J n F 1 b 3 Q 7 U 2 V j d G l v b j E v S 0 R M L 0 F 1 d G 9 S Z W 1 v d m V k Q 2 9 s d W 1 u c z E u e 0 h v b 2 Z k a 2 9 y c H M s M j V 9 J n F 1 b 3 Q 7 L C Z x d W 9 0 O 1 N l Y 3 R p b 2 4 x L 0 t E T C 9 B d X R v U m V t b 3 Z l Z E N v b H V t b n M x L n s y Z S B r b 3 J w c y w y N n 0 m c X V v d D s s J n F 1 b 3 Q 7 U 2 V j d G l v b j E v S 0 R M L 0 F 1 d G 9 S Z W 1 v d m V k Q 2 9 s d W 1 u c z E u e 0 d y b 2 V w Z W 4 s I H R l Y W 1 z L C B l b n N l b W J s Z X M g Z W 4 g Z H V v X H U w M D I 3 c y w y N 3 0 m c X V v d D s s J n F 1 b 3 Q 7 U 2 V j d G l v b j E v S 0 R M L 0 F 1 d G 9 S Z W 1 v d m V k Q 2 9 s d W 1 u c z E u e 1 N l b m l v c m V u L D I 4 f S Z x d W 9 0 O y w m c X V v d D t T Z W N 0 a W 9 u M S 9 L R E w v Q X V 0 b 1 J l b W 9 2 Z W R D b 2 x 1 b W 5 z M S 5 7 S m 9 u Z y B 2 b 2 x 3 Y X N z Z W 5 l L D I 5 f S Z x d W 9 0 O y w m c X V v d D t T Z W N 0 a W 9 u M S 9 L R E w v Q X V 0 b 1 J l b W 9 2 Z W R D b 2 x 1 b W 5 z M S 5 7 S n V u a W 9 y Z W 4 s M z B 9 J n F 1 b 3 Q 7 L C Z x d W 9 0 O 1 N l Y 3 R p b 2 4 x L 0 t E T C 9 B d X R v U m V t b 3 Z l Z E N v b H V t b n M x L n t B c 3 B p c m F u d G V u L D M x f S Z x d W 9 0 O y w m c X V v d D t T Z W N 0 a W 9 u M S 9 L R E w v Q X V 0 b 1 J l b W 9 2 Z W R D b 2 x 1 b W 5 z M S 5 7 T 3 B n Z W d l d m V u I H N l b m l v c m V u L D M y f S Z x d W 9 0 O y w m c X V v d D t T Z W N 0 a W 9 u M S 9 L R E w v Q X V 0 b 1 J l b W 9 2 Z W R D b 2 x 1 b W 5 z M S 5 7 T 3 B n Z W d l d m V u I G p v b m c g d m 9 s d 2 F z c 2 V u Z S w z M 3 0 m c X V v d D s s J n F 1 b 3 Q 7 U 2 V j d G l v b j E v S 0 R M L 0 F 1 d G 9 S Z W 1 v d m V k Q 2 9 s d W 1 u c z E u e 0 9 w Z 2 V n Z X Z l b i B q d W 5 p b 3 J l b i w z N H 0 m c X V v d D s s J n F 1 b 3 Q 7 U 2 V j d G l v b j E v S 0 R M L 0 F 1 d G 9 S Z W 1 v d m V k Q 2 9 s d W 1 u c z E u e 0 9 w Z 2 V n Z X Z l b i B h c 3 B p c m F u d G V u L D M 1 f S Z x d W 9 0 O y w m c X V v d D t T Z W N 0 a W 9 u M S 9 L R E w v Q X V 0 b 1 J l b W 9 2 Z W R D b 2 x 1 b W 5 z M S 5 7 T W F y a 2 V 0 Z W 5 0 c 3 R l c n M s M z Z 9 J n F 1 b 3 Q 7 L C Z x d W 9 0 O 1 N l Y 3 R p b 2 4 x L 0 t E T C 9 B d X R v U m V t b 3 Z l Z E N v b H V t b n M x L n t M d W N o d G d l d 2 V l c i w z N 3 0 m c X V v d D s s J n F 1 b 3 Q 7 U 2 V j d G l v b j E v S 0 R M L 0 F 1 d G 9 S Z W 1 v d m V k Q 2 9 s d W 1 u c z E u e 0 F h b n R h b C B s d W N o d G d l d 2 V l c n N j a H V 0 d G V y c y w z O H 0 m c X V v d D s s J n F 1 b 3 Q 7 U 2 V j d G l v b j E v S 0 R M L 0 F 1 d G 9 S Z W 1 v d m V k Q 2 9 s d W 1 u c z E u e 0 x 1 Y 2 h 0 c G l z d G 9 v b C w z O X 0 m c X V v d D s s J n F 1 b 3 Q 7 U 2 V j d G l v b j E v S 0 R M L 0 F 1 d G 9 S Z W 1 v d m V k Q 2 9 s d W 1 u c z E u e 0 F h b n R h b C B s d W N o d H B p c 3 R v b 2 x z Y 2 h 1 d H R l c n M s N D B 9 J n F 1 b 3 Q 7 L C Z x d W 9 0 O 1 N l Y 3 R p b 2 4 x L 0 t E T C 9 B d X R v U m V t b 3 Z l Z E N v b H V t b n M x L n t I Y W 5 k Y m 9 v Z y w 0 M X 0 m c X V v d D s s J n F 1 b 3 Q 7 U 2 V j d G l v b j E v S 0 R M L 0 F 1 d G 9 S Z W 1 v d m V k Q 2 9 s d W 1 u c z E u e 0 F h b n R h b C B o Y W 5 k Y m 9 v Z 3 N j a H V 0 d G V y c y w 0 M n 0 m c X V v d D s s J n F 1 b 3 Q 7 U 2 V j d G l v b j E v S 0 R M L 0 F 1 d G 9 S Z W 1 v d m V k Q 2 9 s d W 1 u c z E u e 0 t y d W l z Y m 9 v Z y w 0 M 3 0 m c X V v d D s s J n F 1 b 3 Q 7 U 2 V j d G l v b j E v S 0 R M L 0 F 1 d G 9 S Z W 1 v d m V k Q 2 9 s d W 1 u c z E u e 0 F h b n R h b C B r c n V p c 2 J v b 2 d z Y 2 h 1 d H R l c n M s N D R 9 J n F 1 b 3 Q 7 L C Z x d W 9 0 O 1 N l Y 3 R p b 2 4 x L 0 t E T C 9 B d X R v U m V t b 3 Z l Z E N v b H V t b n M x L n t M d W N o d G d l d 2 V l c i B q Z X V n Z C B u a W V 0 I G 9 1 Z G V y I G R h b i A x N y B q Y W F y L i w 0 N X 0 m c X V v d D s s J n F 1 b 3 Q 7 U 2 V j d G l v b j E v S 0 R M L 0 F 1 d G 9 S Z W 1 v d m V k Q 2 9 s d W 1 u c z E u e 0 F h b n R h b C B r b 3 J w c 2 V u L D Q 2 f S Z x d W 9 0 O y w m c X V v d D t T Z W N 0 a W 9 u M S 9 L R E w v Q X V 0 b 1 J l b W 9 2 Z W R D b 2 x 1 b W 5 z M S 5 7 T 3 B n Z W d l d m V u I G p l d W d k a 2 9 y c H N l b i B M R y w 0 N 3 0 m c X V v d D s s J n F 1 b 3 Q 7 U 2 V j d G l v b j E v S 0 R M L 0 F 1 d G 9 S Z W 1 v d m V k Q 2 9 s d W 1 u c z E u e 1 R v d G F h b C B h Y W 5 0 Y W w g Z G V l b G 5 l b W V y c y w 0 O H 0 m c X V v d D s s J n F 1 b 3 Q 7 U 2 V j d G l v b j E v S 0 R M L 0 F 1 d G 9 S Z W 1 v d m V k Q 2 9 s d W 1 u c z E u e 1 d h Y X J 2 Y W 4 g Y W F u d G F s I G p l d W d k I C h 0 L 2 0 g M T U g a m F h c i k s N D l 9 J n F 1 b 3 Q 7 L C Z x d W 9 0 O 1 N l Y 3 R p b 2 4 x L 0 t E T C 9 B d X R v U m V t b 3 Z l Z E N v b H V t b n M x L n t L Y W 5 v b i B l d G M u L D U w f S Z x d W 9 0 O y w m c X V v d D t T Z W N 0 a W 9 u M S 9 L R E w v Q X V 0 b 1 J l b W 9 2 Z W R D b 2 x 1 b W 5 z M S 5 7 U G F h c m R l b i B l b i 9 v Z i B r b 2 V 0 c 2 V u L D U x f S Z x d W 9 0 O y w m c X V v d D t T Z W N 0 a W 9 u M S 9 L R E w v Q X V 0 b 1 J l b W 9 2 Z W R D b 2 x 1 b W 5 z M S 5 7 V G 9 l b G l j a H R p b m c v b 3 B t Z X J r a W 5 n Z W 4 s N T J 9 J n F 1 b 3 Q 7 L C Z x d W 9 0 O 1 N l Y 3 R p b 2 4 x L 0 t E T C 9 B d X R v U m V t b 3 Z l Z E N v b H V t b n M x L n t J b n p l b m R p b m c t S U Q s N T N 9 J n F 1 b 3 Q 7 L C Z x d W 9 0 O 1 N l Y 3 R p b 2 4 x L 0 t E T C 9 B d X R v U m V t b 3 Z l Z E N v b H V t b n M x L n t J b n p l b m R k Y X R 1 b S w 1 N H 0 m c X V v d D s s J n F 1 b 3 Q 7 U 2 V j d G l v b j E v S 0 R M L 0 F 1 d G 9 S Z W 1 v d m V k Q 2 9 s d W 1 u c z E u e 0 R h d G U g V X B k Y X R l Z C w 1 N X 0 m c X V v d D s s J n F 1 b 3 Q 7 U 2 V j d G l v b j E v S 0 R M L 0 F 1 d G 9 S Z W 1 v d m V k Q 2 9 s d W 1 u c z E u e 0 5 h Y W 0 g d m F u I G h l d C B o b 2 9 m Z G t v c n B z L D U 2 f S Z x d W 9 0 O y w m c X V v d D t T Z W N 0 a W 9 u M S 9 L R E w v Q X V 0 b 1 J l b W 9 2 Z W R D b 2 x 1 b W 5 z M S 5 7 W m F s I G 9 w I H R y Z W R l b i B h b H M g K G h v b 2 Z k a 2 9 y c H M p L D U 3 f S Z x d W 9 0 O y w m c X V v d D t T Z W N 0 a W 9 u M S 9 L R E w v Q X V 0 b 1 J l b W 9 2 Z W R D b 2 x 1 b W 5 z M S 5 7 V m 9 y b S B 2 Y W 4 g d H d l Z S B t d X p p Z W t 3 Z X J r Z W 4 g K G h v b 2 Z k a 2 9 y c H M p L D U 4 f S Z x d W 9 0 O y w m c X V v d D t T Z W N 0 a W 9 u M S 9 L R E w v Q X V 0 b 1 J l b W 9 2 Z W R D b 2 x 1 b W 5 z M S 5 7 W m F s I H V p d G t v b W V u I G l u I G R l O i A o a G 9 v Z m R r b 3 J w c y k s N T l 9 J n F 1 b 3 Q 7 L C Z x d W 9 0 O 1 N l Y 3 R p b 2 4 x L 0 t E T C 9 B d X R v U m V t b 3 Z l Z E N v b H V t b n M x L n t N d X p p Z W t 3 Z X J r M S A o a G 9 v Z m R r b 3 J w c y k s N j B 9 J n F 1 b 3 Q 7 L C Z x d W 9 0 O 1 N l Y 3 R p b 2 4 x L 0 t E T C 9 B d X R v U m V t b 3 Z l Z E N v b H V t b n M x L n t N d X p p Z W t 3 Z X J r M i A o a G 9 v Z m R r b 3 J w c y k s N j F 9 J n F 1 b 3 Q 7 L C Z x d W 9 0 O 1 N l Y 3 R p b 2 4 x L 0 t E T C 9 B d X R v U m V t b 3 Z l Z E N v b H V t b n M x L n t L b 3 J w c y B i Z X N 0 Y W F 0 I H V p d C A u L i 4 g Z G V l b G 5 l b W V y c y A o a G 9 v Z m R r b 3 J w c y k s N j J 9 J n F 1 b 3 Q 7 L C Z x d W 9 0 O 1 N l Y 3 R p b 2 4 x L 0 t E T C 9 B d X R v U m V t b 3 Z l Z E N v b H V t b n M x L n t O Y W F t I H Z h b i B o Z X Q g M m U g a 2 9 y c H M s N j N 9 J n F 1 b 3 Q 7 L C Z x d W 9 0 O 1 N l Y 3 R p b 2 4 x L 0 t E T C 9 B d X R v U m V t b 3 Z l Z E N v b H V t b n M x L n t a Y W w g b 3 A g d H J l Z G V u I G F s c y A o M m U g a 2 9 y c H M p L D Y 0 f S Z x d W 9 0 O y w m c X V v d D t T Z W N 0 a W 9 u M S 9 L R E w v Q X V 0 b 1 J l b W 9 2 Z W R D b 2 x 1 b W 5 z M S 5 7 V m 9 y b S B 2 Y W 4 g d H d l Z S B t d X p p Z W t 3 Z X J r Z W 4 g K D J l I G t v c n B z K S w 2 N X 0 m c X V v d D s s J n F 1 b 3 Q 7 U 2 V j d G l v b j E v S 0 R M L 0 F 1 d G 9 S Z W 1 v d m V k Q 2 9 s d W 1 u c z E u e 1 p h b C B 1 a X R r b 2 1 l b i B p b i B k Z T o g K D J l I G t v c n B z K S w 2 N n 0 m c X V v d D s s J n F 1 b 3 Q 7 U 2 V j d G l v b j E v S 0 R M L 0 F 1 d G 9 S Z W 1 v d m V k Q 2 9 s d W 1 u c z E u e 0 1 1 e m l l a 3 d l c m s x I C g y Z S B r b 3 J w c y k s N j d 9 J n F 1 b 3 Q 7 L C Z x d W 9 0 O 1 N l Y 3 R p b 2 4 x L 0 t E T C 9 B d X R v U m V t b 3 Z l Z E N v b H V t b n M x L n t N d X p p Z W t 3 Z X J r M i A o M m U g a 2 9 y c H M p L D Y 4 f S Z x d W 9 0 O y w m c X V v d D t T Z W N 0 a W 9 u M S 9 L R E w v Q X V 0 b 1 J l b W 9 2 Z W R D b 2 x 1 b W 5 z M S 5 7 S 2 9 y c H M g Y m V z d G F h d C B 1 a X Q g L i 4 u I G R l Z W x u Z W 1 l c n M g K D J l I G t v c n B z K S w 2 O X 0 m c X V v d D s s J n F 1 b 3 Q 7 U 2 V j d G l v b j E v S 0 R M L 0 F 1 d G 9 S Z W 1 v d m V k Q 2 9 s d W 1 u c z E u e 0 1 l Y 2 h h b m l z Y 2 h l I G 1 1 e m l l a y w 3 M H 0 m c X V v d D s s J n F 1 b 3 Q 7 U 2 V j d G l v b j E v S 0 R M L 0 F 1 d G 9 S Z W 1 v d m V k Q 2 9 s d W 1 u c z E u e 0 9 u Z G V y Z G V s Z W 4 s N z F 9 J n F 1 b 3 Q 7 L C Z x d W 9 0 O 1 N l Y 3 R p b 2 4 x L 0 t E T C 9 B d X R v U m V t b 3 Z l Z E N v b H V t b n M x L n t T Z W N 0 a W V z L D c y f S Z x d W 9 0 O y w m c X V v d D t T Z W N 0 a W 9 u M S 9 L R E w v Q X V 0 b 1 J l b W 9 2 Z W R D b 2 x 1 b W 5 z M S 5 7 T G V l Z n R p a m R z Y 2 F 0 Z W d v c m l l L D c z f S Z x d W 9 0 O y w m c X V v d D t T Z W N 0 a W 9 u M S 9 L R E w v Q X V 0 b 1 J l b W 9 2 Z W R D b 2 x 1 b W 5 z M S 5 7 Q W F u d G F s I G 9 w Z 2 V n Z X Z l b i B t Y W p v c m V 0 d G V z L D c 0 f S Z x d W 9 0 O 1 0 s J n F 1 b 3 Q 7 Q 2 9 s d W 1 u Q 2 9 1 b n Q m c X V v d D s 6 N z U s J n F 1 b 3 Q 7 S 2 V 5 Q 2 9 s d W 1 u T m F t Z X M m c X V v d D s 6 W 1 0 s J n F 1 b 3 Q 7 Q 2 9 s d W 1 u S W R l b n R p d G l l c y Z x d W 9 0 O z p b J n F 1 b 3 Q 7 U 2 V j d G l v b j E v S 0 R M L 0 F 1 d G 9 S Z W 1 v d m V k Q 2 9 s d W 1 u c z E u e 0 t y a W 5 n Z G F n L D B 9 J n F 1 b 3 Q 7 L C Z x d W 9 0 O 1 N l Y 3 R p b 2 4 x L 0 t E T C 9 B d X R v U m V t b 3 Z l Z E N v b H V t b n M x L n t W Z X I u b n I s M X 0 m c X V v d D s s J n F 1 b 3 Q 7 U 2 V j d G l v b j E v S 0 R M L 0 F 1 d G 9 S Z W 1 v d m V k Q 2 9 s d W 1 u c z E u e 0 5 h Y W 0 g d m V y Z W 5 p Z 2 l u Z y w y f S Z x d W 9 0 O y w m c X V v d D t T Z W N 0 a W 9 u M S 9 L R E w v Q X V 0 b 1 J l b W 9 2 Z W R D b 2 x 1 b W 5 z M S 5 7 R G V s Z W d h d G l l L D N 9 J n F 1 b 3 Q 7 L C Z x d W 9 0 O 1 N l Y 3 R p b 2 4 x L 0 t E T C 9 B d X R v U m V t b 3 Z l Z E N v b H V t b n M x L n t N d X p p Z W t r b 3 J w c y B i a W o g b W F y c y B l b i B k Z W Z p b F x 1 M D B F O S w 0 f S Z x d W 9 0 O y w m c X V v d D t T Z W N 0 a W 9 u M S 9 L R E w v Q X V 0 b 1 J l b W 9 2 Z W R D b 2 x 1 b W 5 z M S 5 7 R G V l b G 4 u I G p l d W d k a 2 9 u a W 5 n c 2 N o a W V 0 Z W 4 s N X 0 m c X V v d D s s J n F 1 b 3 Q 7 U 2 V j d G l v b j E v S 0 R M L 0 F 1 d G 9 S Z W 1 v d m V k Q 2 9 s d W 1 u c z E u e 0 1 h a i 4 g U 2 V u a W 9 y Z W 4 g a n V y Z X J l b i B i a W o g b W F y c y w 2 f S Z x d W 9 0 O y w m c X V v d D t T Z W N 0 a W 9 u M S 9 L R E w v Q X V 0 b 1 J l b W 9 2 Z W R D b 2 x 1 b W 5 z M S 5 7 T W F q L i B K Z X V n Z C B q d X J l c m V u I G J p a i B t Y X J z L D d 9 J n F 1 b 3 Q 7 L C Z x d W 9 0 O 1 N l Y 3 R p b 2 4 x L 0 t E T C 9 B d X R v U m V t b 3 Z l Z E N v b H V t b n M x L n t L b 3 J w c y B z Z W 5 p b 3 J l b i w 4 f S Z x d W 9 0 O y w m c X V v d D t T Z W N 0 a W 9 u M S 9 L R E w v Q X V 0 b 1 J l b W 9 2 Z W R D b 2 x 1 b W 5 z M S 5 7 S n V u a W 9 y Z W 4 g a 2 9 y c H M g M S w 5 f S Z x d W 9 0 O y w m c X V v d D t T Z W N 0 a W 9 u M S 9 L R E w v Q X V 0 b 1 J l b W 9 2 Z W R D b 2 x 1 b W 5 z M S 5 7 S n V u a W 9 y Z W 4 g a 2 9 y c H M g M i w x M H 0 m c X V v d D s s J n F 1 b 3 Q 7 U 2 V j d G l v b j E v S 0 R M L 0 F 1 d G 9 S Z W 1 v d m V k Q 2 9 s d W 1 u c z E u e 0 F z c G l y Y W 5 0 Z W 4 g a 2 9 y c H M g M S w x M X 0 m c X V v d D s s J n F 1 b 3 Q 7 U 2 V j d G l v b j E v S 0 R M L 0 F 1 d G 9 S Z W 1 v d m V k Q 2 9 s d W 1 u c z E u e 0 F z c G l y Y W 5 0 Z W 4 g a 2 9 y c H M g M i w x M n 0 m c X V v d D s s J n F 1 b 3 Q 7 U 2 V j d G l v b j E v S 0 R M L 0 F 1 d G 9 S Z W 1 v d m V k Q 2 9 s d W 1 u c z E u e 0 F j c m 9 i Y X R p c 2 N o I H N l b m l v c m V u L D E z f S Z x d W 9 0 O y w m c X V v d D t T Z W N 0 a W 9 u M S 9 L R E w v Q X V 0 b 1 J l b W 9 2 Z W R D b 2 x 1 b W 5 z M S 5 7 Q W N y b 2 J h d G l z Y 2 g g a n V u a W 9 y Z W 4 s M T R 9 J n F 1 b 3 Q 7 L C Z x d W 9 0 O 1 N l Y 3 R p b 2 4 x L 0 t E T C 9 B d X R v U m V t b 3 Z l Z E N v b H V t b n M x L n t B Y 3 J v Y m F 0 a X N j a C B h c 3 B p c m F u d G V u L D E 1 f S Z x d W 9 0 O y w m c X V v d D t T Z W N 0 a W 9 u M S 9 L R E w v Q X V 0 b 1 J l b W 9 2 Z W R D b 2 x 1 b W 5 z M S 5 7 U 2 h v d y B z Z W 5 p b 3 J l b i w x N n 0 m c X V v d D s s J n F 1 b 3 Q 7 U 2 V j d G l v b j E v S 0 R M L 0 F 1 d G 9 S Z W 1 v d m V k Q 2 9 s d W 1 u c z E u e 1 N o b 3 c g a n V u a W 9 y Z W 4 s M T d 9 J n F 1 b 3 Q 7 L C Z x d W 9 0 O 1 N l Y 3 R p b 2 4 x L 0 t E T C 9 B d X R v U m V t b 3 Z l Z E N v b H V t b n M x L n t T a G 9 3 I G F z c G l y Y W 5 0 Z W 4 s M T h 9 J n F 1 b 3 Q 7 L C Z x d W 9 0 O 1 N l Y 3 R p b 2 4 x L 0 t E T C 9 B d X R v U m V t b 3 Z l Z E N v b H V t b n M x L n t T Z W 5 p b 3 J l b i B p b m R p d i 4 s M T l 9 J n F 1 b 3 Q 7 L C Z x d W 9 0 O 1 N l Y 3 R p b 2 4 x L 0 t E T C 9 B d X R v U m V t b 3 Z l Z E N v b H V t b n M x L n t K d W 5 p b 3 J l b i B p b m R p d i 4 s M j B 9 J n F 1 b 3 Q 7 L C Z x d W 9 0 O 1 N l Y 3 R p b 2 4 x L 0 t E T C 9 B d X R v U m V t b 3 Z l Z E N v b H V t b n M x L n t B c 3 B p c m F u d G V u I G l u Z G l 2 L i w y M X 0 m c X V v d D s s J n F 1 b 3 Q 7 U 2 V j d G l v b j E v S 0 R M L 0 F 1 d G 9 S Z W 1 v d m V k Q 2 9 s d W 1 u c z E u e 1 N l b i 4 g a W 5 k I G 9 w Z 2 V n Z X Z l b i B u Y W 1 l b i w y M n 0 m c X V v d D s s J n F 1 b 3 Q 7 U 2 V j d G l v b j E v S 0 R M L 0 F 1 d G 9 S Z W 1 v d m V k Q 2 9 s d W 1 u c z E u e 0 p 1 b i 4 g a W 5 k I G 9 w Z 2 V n Z X Z l b i B u Y W 1 l b i w y M 3 0 m c X V v d D s s J n F 1 b 3 Q 7 U 2 V j d G l v b j E v S 0 R M L 0 F 1 d G 9 S Z W 1 v d m V k Q 2 9 s d W 1 u c z E u e 0 F z c C 4 g a W 5 k I G 9 w Z 2 V n Z X Z l b i B u Y W 1 l b i w y N H 0 m c X V v d D s s J n F 1 b 3 Q 7 U 2 V j d G l v b j E v S 0 R M L 0 F 1 d G 9 S Z W 1 v d m V k Q 2 9 s d W 1 u c z E u e 0 h v b 2 Z k a 2 9 y c H M s M j V 9 J n F 1 b 3 Q 7 L C Z x d W 9 0 O 1 N l Y 3 R p b 2 4 x L 0 t E T C 9 B d X R v U m V t b 3 Z l Z E N v b H V t b n M x L n s y Z S B r b 3 J w c y w y N n 0 m c X V v d D s s J n F 1 b 3 Q 7 U 2 V j d G l v b j E v S 0 R M L 0 F 1 d G 9 S Z W 1 v d m V k Q 2 9 s d W 1 u c z E u e 0 d y b 2 V w Z W 4 s I H R l Y W 1 z L C B l b n N l b W J s Z X M g Z W 4 g Z H V v X H U w M D I 3 c y w y N 3 0 m c X V v d D s s J n F 1 b 3 Q 7 U 2 V j d G l v b j E v S 0 R M L 0 F 1 d G 9 S Z W 1 v d m V k Q 2 9 s d W 1 u c z E u e 1 N l b m l v c m V u L D I 4 f S Z x d W 9 0 O y w m c X V v d D t T Z W N 0 a W 9 u M S 9 L R E w v Q X V 0 b 1 J l b W 9 2 Z W R D b 2 x 1 b W 5 z M S 5 7 S m 9 u Z y B 2 b 2 x 3 Y X N z Z W 5 l L D I 5 f S Z x d W 9 0 O y w m c X V v d D t T Z W N 0 a W 9 u M S 9 L R E w v Q X V 0 b 1 J l b W 9 2 Z W R D b 2 x 1 b W 5 z M S 5 7 S n V u a W 9 y Z W 4 s M z B 9 J n F 1 b 3 Q 7 L C Z x d W 9 0 O 1 N l Y 3 R p b 2 4 x L 0 t E T C 9 B d X R v U m V t b 3 Z l Z E N v b H V t b n M x L n t B c 3 B p c m F u d G V u L D M x f S Z x d W 9 0 O y w m c X V v d D t T Z W N 0 a W 9 u M S 9 L R E w v Q X V 0 b 1 J l b W 9 2 Z W R D b 2 x 1 b W 5 z M S 5 7 T 3 B n Z W d l d m V u I H N l b m l v c m V u L D M y f S Z x d W 9 0 O y w m c X V v d D t T Z W N 0 a W 9 u M S 9 L R E w v Q X V 0 b 1 J l b W 9 2 Z W R D b 2 x 1 b W 5 z M S 5 7 T 3 B n Z W d l d m V u I G p v b m c g d m 9 s d 2 F z c 2 V u Z S w z M 3 0 m c X V v d D s s J n F 1 b 3 Q 7 U 2 V j d G l v b j E v S 0 R M L 0 F 1 d G 9 S Z W 1 v d m V k Q 2 9 s d W 1 u c z E u e 0 9 w Z 2 V n Z X Z l b i B q d W 5 p b 3 J l b i w z N H 0 m c X V v d D s s J n F 1 b 3 Q 7 U 2 V j d G l v b j E v S 0 R M L 0 F 1 d G 9 S Z W 1 v d m V k Q 2 9 s d W 1 u c z E u e 0 9 w Z 2 V n Z X Z l b i B h c 3 B p c m F u d G V u L D M 1 f S Z x d W 9 0 O y w m c X V v d D t T Z W N 0 a W 9 u M S 9 L R E w v Q X V 0 b 1 J l b W 9 2 Z W R D b 2 x 1 b W 5 z M S 5 7 T W F y a 2 V 0 Z W 5 0 c 3 R l c n M s M z Z 9 J n F 1 b 3 Q 7 L C Z x d W 9 0 O 1 N l Y 3 R p b 2 4 x L 0 t E T C 9 B d X R v U m V t b 3 Z l Z E N v b H V t b n M x L n t M d W N o d G d l d 2 V l c i w z N 3 0 m c X V v d D s s J n F 1 b 3 Q 7 U 2 V j d G l v b j E v S 0 R M L 0 F 1 d G 9 S Z W 1 v d m V k Q 2 9 s d W 1 u c z E u e 0 F h b n R h b C B s d W N o d G d l d 2 V l c n N j a H V 0 d G V y c y w z O H 0 m c X V v d D s s J n F 1 b 3 Q 7 U 2 V j d G l v b j E v S 0 R M L 0 F 1 d G 9 S Z W 1 v d m V k Q 2 9 s d W 1 u c z E u e 0 x 1 Y 2 h 0 c G l z d G 9 v b C w z O X 0 m c X V v d D s s J n F 1 b 3 Q 7 U 2 V j d G l v b j E v S 0 R M L 0 F 1 d G 9 S Z W 1 v d m V k Q 2 9 s d W 1 u c z E u e 0 F h b n R h b C B s d W N o d H B p c 3 R v b 2 x z Y 2 h 1 d H R l c n M s N D B 9 J n F 1 b 3 Q 7 L C Z x d W 9 0 O 1 N l Y 3 R p b 2 4 x L 0 t E T C 9 B d X R v U m V t b 3 Z l Z E N v b H V t b n M x L n t I Y W 5 k Y m 9 v Z y w 0 M X 0 m c X V v d D s s J n F 1 b 3 Q 7 U 2 V j d G l v b j E v S 0 R M L 0 F 1 d G 9 S Z W 1 v d m V k Q 2 9 s d W 1 u c z E u e 0 F h b n R h b C B o Y W 5 k Y m 9 v Z 3 N j a H V 0 d G V y c y w 0 M n 0 m c X V v d D s s J n F 1 b 3 Q 7 U 2 V j d G l v b j E v S 0 R M L 0 F 1 d G 9 S Z W 1 v d m V k Q 2 9 s d W 1 u c z E u e 0 t y d W l z Y m 9 v Z y w 0 M 3 0 m c X V v d D s s J n F 1 b 3 Q 7 U 2 V j d G l v b j E v S 0 R M L 0 F 1 d G 9 S Z W 1 v d m V k Q 2 9 s d W 1 u c z E u e 0 F h b n R h b C B r c n V p c 2 J v b 2 d z Y 2 h 1 d H R l c n M s N D R 9 J n F 1 b 3 Q 7 L C Z x d W 9 0 O 1 N l Y 3 R p b 2 4 x L 0 t E T C 9 B d X R v U m V t b 3 Z l Z E N v b H V t b n M x L n t M d W N o d G d l d 2 V l c i B q Z X V n Z C B u a W V 0 I G 9 1 Z G V y I G R h b i A x N y B q Y W F y L i w 0 N X 0 m c X V v d D s s J n F 1 b 3 Q 7 U 2 V j d G l v b j E v S 0 R M L 0 F 1 d G 9 S Z W 1 v d m V k Q 2 9 s d W 1 u c z E u e 0 F h b n R h b C B r b 3 J w c 2 V u L D Q 2 f S Z x d W 9 0 O y w m c X V v d D t T Z W N 0 a W 9 u M S 9 L R E w v Q X V 0 b 1 J l b W 9 2 Z W R D b 2 x 1 b W 5 z M S 5 7 T 3 B n Z W d l d m V u I G p l d W d k a 2 9 y c H N l b i B M R y w 0 N 3 0 m c X V v d D s s J n F 1 b 3 Q 7 U 2 V j d G l v b j E v S 0 R M L 0 F 1 d G 9 S Z W 1 v d m V k Q 2 9 s d W 1 u c z E u e 1 R v d G F h b C B h Y W 5 0 Y W w g Z G V l b G 5 l b W V y c y w 0 O H 0 m c X V v d D s s J n F 1 b 3 Q 7 U 2 V j d G l v b j E v S 0 R M L 0 F 1 d G 9 S Z W 1 v d m V k Q 2 9 s d W 1 u c z E u e 1 d h Y X J 2 Y W 4 g Y W F u d G F s I G p l d W d k I C h 0 L 2 0 g M T U g a m F h c i k s N D l 9 J n F 1 b 3 Q 7 L C Z x d W 9 0 O 1 N l Y 3 R p b 2 4 x L 0 t E T C 9 B d X R v U m V t b 3 Z l Z E N v b H V t b n M x L n t L Y W 5 v b i B l d G M u L D U w f S Z x d W 9 0 O y w m c X V v d D t T Z W N 0 a W 9 u M S 9 L R E w v Q X V 0 b 1 J l b W 9 2 Z W R D b 2 x 1 b W 5 z M S 5 7 U G F h c m R l b i B l b i 9 v Z i B r b 2 V 0 c 2 V u L D U x f S Z x d W 9 0 O y w m c X V v d D t T Z W N 0 a W 9 u M S 9 L R E w v Q X V 0 b 1 J l b W 9 2 Z W R D b 2 x 1 b W 5 z M S 5 7 V G 9 l b G l j a H R p b m c v b 3 B t Z X J r a W 5 n Z W 4 s N T J 9 J n F 1 b 3 Q 7 L C Z x d W 9 0 O 1 N l Y 3 R p b 2 4 x L 0 t E T C 9 B d X R v U m V t b 3 Z l Z E N v b H V t b n M x L n t J b n p l b m R p b m c t S U Q s N T N 9 J n F 1 b 3 Q 7 L C Z x d W 9 0 O 1 N l Y 3 R p b 2 4 x L 0 t E T C 9 B d X R v U m V t b 3 Z l Z E N v b H V t b n M x L n t J b n p l b m R k Y X R 1 b S w 1 N H 0 m c X V v d D s s J n F 1 b 3 Q 7 U 2 V j d G l v b j E v S 0 R M L 0 F 1 d G 9 S Z W 1 v d m V k Q 2 9 s d W 1 u c z E u e 0 R h d G U g V X B k Y X R l Z C w 1 N X 0 m c X V v d D s s J n F 1 b 3 Q 7 U 2 V j d G l v b j E v S 0 R M L 0 F 1 d G 9 S Z W 1 v d m V k Q 2 9 s d W 1 u c z E u e 0 5 h Y W 0 g d m F u I G h l d C B o b 2 9 m Z G t v c n B z L D U 2 f S Z x d W 9 0 O y w m c X V v d D t T Z W N 0 a W 9 u M S 9 L R E w v Q X V 0 b 1 J l b W 9 2 Z W R D b 2 x 1 b W 5 z M S 5 7 W m F s I G 9 w I H R y Z W R l b i B h b H M g K G h v b 2 Z k a 2 9 y c H M p L D U 3 f S Z x d W 9 0 O y w m c X V v d D t T Z W N 0 a W 9 u M S 9 L R E w v Q X V 0 b 1 J l b W 9 2 Z W R D b 2 x 1 b W 5 z M S 5 7 V m 9 y b S B 2 Y W 4 g d H d l Z S B t d X p p Z W t 3 Z X J r Z W 4 g K G h v b 2 Z k a 2 9 y c H M p L D U 4 f S Z x d W 9 0 O y w m c X V v d D t T Z W N 0 a W 9 u M S 9 L R E w v Q X V 0 b 1 J l b W 9 2 Z W R D b 2 x 1 b W 5 z M S 5 7 W m F s I H V p d G t v b W V u I G l u I G R l O i A o a G 9 v Z m R r b 3 J w c y k s N T l 9 J n F 1 b 3 Q 7 L C Z x d W 9 0 O 1 N l Y 3 R p b 2 4 x L 0 t E T C 9 B d X R v U m V t b 3 Z l Z E N v b H V t b n M x L n t N d X p p Z W t 3 Z X J r M S A o a G 9 v Z m R r b 3 J w c y k s N j B 9 J n F 1 b 3 Q 7 L C Z x d W 9 0 O 1 N l Y 3 R p b 2 4 x L 0 t E T C 9 B d X R v U m V t b 3 Z l Z E N v b H V t b n M x L n t N d X p p Z W t 3 Z X J r M i A o a G 9 v Z m R r b 3 J w c y k s N j F 9 J n F 1 b 3 Q 7 L C Z x d W 9 0 O 1 N l Y 3 R p b 2 4 x L 0 t E T C 9 B d X R v U m V t b 3 Z l Z E N v b H V t b n M x L n t L b 3 J w c y B i Z X N 0 Y W F 0 I H V p d C A u L i 4 g Z G V l b G 5 l b W V y c y A o a G 9 v Z m R r b 3 J w c y k s N j J 9 J n F 1 b 3 Q 7 L C Z x d W 9 0 O 1 N l Y 3 R p b 2 4 x L 0 t E T C 9 B d X R v U m V t b 3 Z l Z E N v b H V t b n M x L n t O Y W F t I H Z h b i B o Z X Q g M m U g a 2 9 y c H M s N j N 9 J n F 1 b 3 Q 7 L C Z x d W 9 0 O 1 N l Y 3 R p b 2 4 x L 0 t E T C 9 B d X R v U m V t b 3 Z l Z E N v b H V t b n M x L n t a Y W w g b 3 A g d H J l Z G V u I G F s c y A o M m U g a 2 9 y c H M p L D Y 0 f S Z x d W 9 0 O y w m c X V v d D t T Z W N 0 a W 9 u M S 9 L R E w v Q X V 0 b 1 J l b W 9 2 Z W R D b 2 x 1 b W 5 z M S 5 7 V m 9 y b S B 2 Y W 4 g d H d l Z S B t d X p p Z W t 3 Z X J r Z W 4 g K D J l I G t v c n B z K S w 2 N X 0 m c X V v d D s s J n F 1 b 3 Q 7 U 2 V j d G l v b j E v S 0 R M L 0 F 1 d G 9 S Z W 1 v d m V k Q 2 9 s d W 1 u c z E u e 1 p h b C B 1 a X R r b 2 1 l b i B p b i B k Z T o g K D J l I G t v c n B z K S w 2 N n 0 m c X V v d D s s J n F 1 b 3 Q 7 U 2 V j d G l v b j E v S 0 R M L 0 F 1 d G 9 S Z W 1 v d m V k Q 2 9 s d W 1 u c z E u e 0 1 1 e m l l a 3 d l c m s x I C g y Z S B r b 3 J w c y k s N j d 9 J n F 1 b 3 Q 7 L C Z x d W 9 0 O 1 N l Y 3 R p b 2 4 x L 0 t E T C 9 B d X R v U m V t b 3 Z l Z E N v b H V t b n M x L n t N d X p p Z W t 3 Z X J r M i A o M m U g a 2 9 y c H M p L D Y 4 f S Z x d W 9 0 O y w m c X V v d D t T Z W N 0 a W 9 u M S 9 L R E w v Q X V 0 b 1 J l b W 9 2 Z W R D b 2 x 1 b W 5 z M S 5 7 S 2 9 y c H M g Y m V z d G F h d C B 1 a X Q g L i 4 u I G R l Z W x u Z W 1 l c n M g K D J l I G t v c n B z K S w 2 O X 0 m c X V v d D s s J n F 1 b 3 Q 7 U 2 V j d G l v b j E v S 0 R M L 0 F 1 d G 9 S Z W 1 v d m V k Q 2 9 s d W 1 u c z E u e 0 1 l Y 2 h h b m l z Y 2 h l I G 1 1 e m l l a y w 3 M H 0 m c X V v d D s s J n F 1 b 3 Q 7 U 2 V j d G l v b j E v S 0 R M L 0 F 1 d G 9 S Z W 1 v d m V k Q 2 9 s d W 1 u c z E u e 0 9 u Z G V y Z G V s Z W 4 s N z F 9 J n F 1 b 3 Q 7 L C Z x d W 9 0 O 1 N l Y 3 R p b 2 4 x L 0 t E T C 9 B d X R v U m V t b 3 Z l Z E N v b H V t b n M x L n t T Z W N 0 a W V z L D c y f S Z x d W 9 0 O y w m c X V v d D t T Z W N 0 a W 9 u M S 9 L R E w v Q X V 0 b 1 J l b W 9 2 Z W R D b 2 x 1 b W 5 z M S 5 7 T G V l Z n R p a m R z Y 2 F 0 Z W d v c m l l L D c z f S Z x d W 9 0 O y w m c X V v d D t T Z W N 0 a W 9 u M S 9 L R E w v Q X V 0 b 1 J l b W 9 2 Z W R D b 2 x 1 b W 5 z M S 5 7 Q W F u d G F s I G 9 w Z 2 V n Z X Z l b i B t Y W p v c m V 0 d G V z L D c 0 f S Z x d W 9 0 O 1 0 s J n F 1 b 3 Q 7 U m V s Y X R p b 2 5 z a G l w S W 5 m b y Z x d W 9 0 O z p b X X 0 i I C 8 + P E V u d H J 5 I F R 5 c G U 9 I k F k Z G V k V G 9 E Y X R h T W 9 k Z W w i I F Z h b H V l P S J s M C I g L z 4 8 L 1 N 0 Y W J s Z U V u d H J p Z X M + P C 9 J d G V t P j x J d G V t P j x J d G V t T G 9 j Y X R p b 2 4 + P E l 0 Z W 1 U e X B l P k Z v c m 1 1 b G E 8 L 0 l 0 Z W 1 U e X B l P j x J d G V t U G F 0 a D 5 T Z W N 0 a W 9 u M S 9 L R E E 8 L 0 l 0 Z W 1 Q Y X R o P j w v S X R l b U x v Y 2 F 0 a W 9 u P j x T d G F i b G V F b n R y a W V z P j x F b n R y e S B U e X B l P S J O Y X Z p Z 2 F 0 a W 9 u U 3 R l c E 5 h b W U i I F Z h b H V l P S J z T m F 2 a W d h d G l l I i A v P j x F b n R y e S B U e X B l P S J G a W x s R W 5 h Y m x l Z C I g V m F s d W U 9 I m w x I i A v P j x F b n R y e S B U e X B l P S J G a W x s Z W R D b 2 1 w b G V 0 Z V J l c 3 V s d F R v V 2 9 y a 3 N o Z W V 0 I i B W Y W x 1 Z T 0 i b D E i I C 8 + P E V u d H J 5 I F R 5 c G U 9 I k Z p b G x U b 0 R h d G F N b 2 R l b E V u Y W J s Z W Q i I F Z h b H V l P S J s M C I g L z 4 8 R W 5 0 c n k g V H l w Z T 0 i S X N Q c m l 2 Y X R l I i B W Y W x 1 Z T 0 i b D A i I C 8 + P E V u d H J 5 I F R 5 c G U 9 I l F 1 Z X J 5 S U Q i I F Z h b H V l P S J z M D R l M T l k Z j I t N D Y y Y i 0 0 Z j R h L W J l N T k t O T h m M G E 0 N m Q 4 M 2 I 1 I i A v P j x F b n R y e S B U e X B l P S J O Y W 1 l V X B k Y X R l Z E F m d G V y R m l s b C I g V m F s d W U 9 I m w w I i A v P j x F b n R y e S B U e X B l P S J C d W Z m Z X J O Z X h 0 U m V m c m V z a C I g V m F s d W U 9 I m w x I i A v P j x F b n R y e S B U e X B l P S J G a W x s T 2 J q Z W N 0 V H l w Z S I g V m F s d W U 9 I n N U Y W J s Z S I g L z 4 8 R W 5 0 c n k g V H l w Z T 0 i U m V z d W x 0 V H l w Z S I g V m F s d W U 9 I n N U Y W J s Z S I g L z 4 8 R W 5 0 c n k g V H l w Z T 0 i T G 9 h Z G V k V G 9 B b m F s e X N p c 1 N l c n Z p Y 2 V z I i B W Y W x 1 Z T 0 i b D A i I C 8 + P E V u d H J 5 I F R 5 c G U 9 I l J l Y 2 9 2 Z X J 5 V G F y Z 2 V 0 U 2 h l Z X Q i I F Z h b H V l P S J z S 0 R B I i A v P j x F b n R y e S B U e X B l P S J S Z W N v d m V y e V R h c m d l d E N v b H V t b i I g V m F s d W U 9 I m w x I i A v P j x F b n R y e S B U e X B l P S J S Z W N v d m V y e V R h c m d l d F J v d y I g V m F s d W U 9 I m w x M C I g L z 4 8 R W 5 0 c n k g V H l w Z T 0 i R m l s b F R h c m d l d C I g V m F s d W U 9 I n N L R E E i I C 8 + P E V u d H J 5 I F R 5 c G U 9 I k x v Y W R U b 1 J l c G 9 y d E R p c 2 F i b G V k I i B W Y W x 1 Z T 0 i b D A i I C 8 + P E V u d H J 5 I F R 5 c G U 9 I k Z p b G x M Y X N 0 V X B k Y X R l Z C I g V m F s d W U 9 I m Q y M D I 1 L T A x L T A x V D E 3 O j Q 2 O j E 3 L j Y 4 N j Y w N j B a I i A v P j x F b n R y e S B U e X B l P S J G a W x s Q 2 9 s d W 1 u V H l w Z X M i I F Z h b H V l P S J z Q m d Z R 0 J n W U d C Z 1 l E Q X d N R E F 3 T U R B d 1 l H Q m d N R E F 3 T U R B d 1 l H Q X d N R E F 3 T U R B d 0 1 E Q m d Z R E J n T U d B d 1 l E Q m d N R E F 3 T U d C Z 1 l E Q n d j R 0 J n W U d C Z 1 l E Q m d Z R 0 J n W U d B d 1 l H Q m d Z R E J n P T 0 i I C 8 + P E V u d H J 5 I F R 5 c G U 9 I k Z p b G x F c n J v c k N v d W 5 0 I i B W Y W x 1 Z T 0 i b D A i I C 8 + P E V u d H J 5 I F R 5 c G U 9 I k Z p b G x D b 2 x 1 b W 5 O Y W 1 l c y I g V m F s d W U 9 I n N b J n F 1 b 3 Q 7 S 3 J p b m d k Y W c m c X V v d D s s J n F 1 b 3 Q 7 V m V y L m 5 y J n F 1 b 3 Q 7 L C Z x d W 9 0 O 0 5 h Y W 0 g d m V y Z W 5 p Z 2 l u Z y Z x d W 9 0 O y w m c X V v d D t E Z W x l Z 2 F 0 a W U m c X V v d D s s J n F 1 b 3 Q 7 T X V 6 a W V r a 2 9 y c H M g Y m l q I G 1 h c n M g Z W 4 g Z G V m a W x c d T A w R T k m c X V v d D s s J n F 1 b 3 Q 7 R G V l b G 4 u I G p l d W d k a 2 9 u a W 5 n c 2 N o a W V 0 Z W 4 m c X V v d D s s J n F 1 b 3 Q 7 T W F q L i B T Z W 5 p b 3 J l b i B q d X J l c m V u I G J p a i B t Y X J z J n F 1 b 3 Q 7 L C Z x d W 9 0 O 0 1 h a i 4 g S m V 1 Z 2 Q g a n V y Z X J l b i B i a W o g b W F y c y Z x d W 9 0 O y w m c X V v d D t L b 3 J w c y B z Z W 5 p b 3 J l b i Z x d W 9 0 O y w m c X V v d D t K d W 5 p b 3 J l b i B r b 3 J w c y A x J n F 1 b 3 Q 7 L C Z x d W 9 0 O 0 p 1 b m l v c m V u I G t v c n B z I D I m c X V v d D s s J n F 1 b 3 Q 7 Q X N w a X J h b n R l b i B r b 3 J w c y A x J n F 1 b 3 Q 7 L C Z x d W 9 0 O 0 F z c G l y Y W 5 0 Z W 4 g a 2 9 y c H M g M i Z x d W 9 0 O y w m c X V v d D t B Y 3 J v Y m F 0 a X N j a C B z Z W 5 p b 3 J l b i Z x d W 9 0 O y w m c X V v d D t B Y 3 J v Y m F 0 a X N j a C B q d W 5 p b 3 J l b i Z x d W 9 0 O y w m c X V v d D t B Y 3 J v Y m F 0 a X N j a C B h c 3 B p c m F u d G V u J n F 1 b 3 Q 7 L C Z x d W 9 0 O 1 N o b 3 c g c 2 V u a W 9 y Z W 4 m c X V v d D s s J n F 1 b 3 Q 7 U 2 h v d y B q d W 5 p b 3 J l b i Z x d W 9 0 O y w m c X V v d D t T a G 9 3 I G F z c G l y Y W 5 0 Z W 4 m c X V v d D s s J n F 1 b 3 Q 7 U 2 V u a W 9 y Z W 4 g a W 5 k a X Y u J n F 1 b 3 Q 7 L C Z x d W 9 0 O 0 p 1 b m l v c m V u I G l u Z G l 2 L i Z x d W 9 0 O y w m c X V v d D t B c 3 B p c m F u d G V u I G l u Z G l 2 L i Z x d W 9 0 O y w m c X V v d D t T Z W 4 u I G l u Z C B v c G d l Z 2 V 2 Z W 4 g b m F t Z W 4 m c X V v d D s s J n F 1 b 3 Q 7 S n V u L i B p b m Q g b 3 B n Z W d l d m V u I G 5 h b W V u J n F 1 b 3 Q 7 L C Z x d W 9 0 O 0 F z c C 4 g a W 5 k I G 9 w Z 2 V n Z X Z l b i B u Y W 1 l b i Z x d W 9 0 O y w m c X V v d D t I b 2 9 m Z G t v c n B z J n F 1 b 3 Q 7 L C Z x d W 9 0 O z J l I G t v c n B z J n F 1 b 3 Q 7 L C Z x d W 9 0 O 0 d y b 2 V w Z W 4 s I H R l Y W 1 z L C B l b n N l b W J s Z X M g Z W 4 g Z H V v X H U w M D I 3 c y Z x d W 9 0 O y w m c X V v d D t T Z W 5 p b 3 J l b i Z x d W 9 0 O y w m c X V v d D t K b 2 5 n I H Z v b H d h c 3 N l b m U m c X V v d D s s J n F 1 b 3 Q 7 S n V u a W 9 y Z W 4 m c X V v d D s s J n F 1 b 3 Q 7 Q X N w a X J h b n R l b i Z x d W 9 0 O y w m c X V v d D t P c G d l Z 2 V 2 Z W 4 g c 2 V u a W 9 y Z W 4 m c X V v d D s s J n F 1 b 3 Q 7 T 3 B n Z W d l d m V u I G p v b m c g d m 9 s d 2 F z c 2 V u Z S Z x d W 9 0 O y w m c X V v d D t P c G d l Z 2 V 2 Z W 4 g a n V u a W 9 y Z W 4 m c X V v d D s s J n F 1 b 3 Q 7 T 3 B n Z W d l d m V u I G F z c G l y Y W 5 0 Z W 4 m c X V v d D s s J n F 1 b 3 Q 7 T W F y a 2 V 0 Z W 5 0 c 3 R l c n M m c X V v d D s s J n F 1 b 3 Q 7 T H V j a H R n Z X d l Z X I m c X V v d D s s J n F 1 b 3 Q 7 Q W F u d G F s I G x 1 Y 2 h 0 Z 2 V 3 Z W V y c 2 N o d X R 0 Z X J z J n F 1 b 3 Q 7 L C Z x d W 9 0 O 0 x 1 Y 2 h 0 c G l z d G 9 v b C Z x d W 9 0 O y w m c X V v d D t B Y W 5 0 Y W w g b H V j a H R w a X N 0 b 2 9 s c 2 N o d X R 0 Z X J z J n F 1 b 3 Q 7 L C Z x d W 9 0 O 0 h h b m R i b 2 9 n J n F 1 b 3 Q 7 L C Z x d W 9 0 O 0 F h b n R h b C B o Y W 5 k Y m 9 v Z 3 N j a H V 0 d G V y c y Z x d W 9 0 O y w m c X V v d D t L c n V p c 2 J v b 2 c m c X V v d D s s J n F 1 b 3 Q 7 Q W F u d G F s I G t y d W l z Y m 9 v Z 3 N j a H V 0 d G V y c y Z x d W 9 0 O y w m c X V v d D t M d W N o d G d l d 2 V l c i B q Z X V n Z C B u a W V 0 I G 9 1 Z G V y I G R h b i A x N y B q Y W F y L i Z x d W 9 0 O y w m c X V v d D t B Y W 5 0 Y W w g a 2 9 y c H N l b i Z x d W 9 0 O y w m c X V v d D t P c G d l Z 2 V 2 Z W 4 g a m V 1 Z 2 R r b 3 J w c 2 V u I E x H J n F 1 b 3 Q 7 L C Z x d W 9 0 O 1 R v d G F h b C B h Y W 5 0 Y W w g Z G V l b G 5 l b W V y c y Z x d W 9 0 O y w m c X V v d D t X Y W F y d m F u I G F h b n R h b C B q Z X V n Z C A o d C 9 t I D E 1 I G p h Y X I p J n F 1 b 3 Q 7 L C Z x d W 9 0 O 0 t h b m 9 u I G V 0 Y y 4 m c X V v d D s s J n F 1 b 3 Q 7 U G F h c m R l b i B l b i 9 v Z i B r b 2 V 0 c 2 V u J n F 1 b 3 Q 7 L C Z x d W 9 0 O 1 R v Z W x p Y 2 h 0 a W 5 n L 2 9 w b W V y a 2 l u Z 2 V u J n F 1 b 3 Q 7 L C Z x d W 9 0 O 0 l u e m V u Z G l u Z y 1 J R C Z x d W 9 0 O y w m c X V v d D t J b n p l b m R k Y X R 1 b S Z x d W 9 0 O y w m c X V v d D t E Y X R l I F V w Z G F 0 Z W Q m c X V v d D s s J n F 1 b 3 Q 7 T m F h b S B 2 Y W 4 g a G V 0 I G h v b 2 Z k a 2 9 y c H M m c X V v d D s s J n F 1 b 3 Q 7 W m F s I G 9 w I H R y Z W R l b i B h b H M g K G h v b 2 Z k a 2 9 y c H M p J n F 1 b 3 Q 7 L C Z x d W 9 0 O 1 Z v c m 0 g d m F u I H R 3 Z W U g b X V 6 a W V r d 2 V y a 2 V u I C h o b 2 9 m Z G t v c n B z K S Z x d W 9 0 O y w m c X V v d D t a Y W w g d W l 0 a 2 9 t Z W 4 g a W 4 g Z G U 6 I C h o b 2 9 m Z G t v c n B z K S Z x d W 9 0 O y w m c X V v d D t N d X p p Z W t 3 Z X J r M S A o a G 9 v Z m R r b 3 J w c y k m c X V v d D s s J n F 1 b 3 Q 7 T X V 6 a W V r d 2 V y a z I g K G h v b 2 Z k a 2 9 y c H M p J n F 1 b 3 Q 7 L C Z x d W 9 0 O 0 t v c n B z I G J l c 3 R h Y X Q g d W l 0 I C 4 u L i B k Z W V s b m V t Z X J z I C h o b 2 9 m Z G t v c n B z K S Z x d W 9 0 O y w m c X V v d D t O Y W F t I H Z h b i B o Z X Q g M m U g a 2 9 y c H M m c X V v d D s s J n F 1 b 3 Q 7 W m F s I G 9 w I H R y Z W R l b i B h b H M g K D J l I G t v c n B z K S Z x d W 9 0 O y w m c X V v d D t W b 3 J t I H Z h b i B 0 d 2 V l I G 1 1 e m l l a 3 d l c m t l b i A o M m U g a 2 9 y c H M p J n F 1 b 3 Q 7 L C Z x d W 9 0 O 1 p h b C B 1 a X R r b 2 1 l b i B p b i B k Z T o g K D J l I G t v c n B z K S Z x d W 9 0 O y w m c X V v d D t N d X p p Z W t 3 Z X J r M S A o M m U g a 2 9 y c H M p J n F 1 b 3 Q 7 L C Z x d W 9 0 O 0 1 1 e m l l a 3 d l c m s y I C g y Z S B r b 3 J w c y k m c X V v d D s s J n F 1 b 3 Q 7 S 2 9 y c H M g Y m V z d G F h d C B 1 a X Q g L i 4 u I G R l Z W x u Z W 1 l c n M g K D J l I G t v c n B z K S Z x d W 9 0 O y w m c X V v d D t N Z W N o Y W 5 p c 2 N o Z S B t d X p p Z W s m c X V v d D s s J n F 1 b 3 Q 7 T 2 5 k Z X J k Z W x l b i Z x d W 9 0 O y w m c X V v d D t T Z W N 0 a W V z J n F 1 b 3 Q 7 L C Z x d W 9 0 O 0 x l Z W Z 0 a W p k c 2 N h d G V n b 3 J p Z S Z x d W 9 0 O y w m c X V v d D t B Y W 5 0 Y W w g b 3 B n Z W d l d m V u I G 1 h a m 9 y Z X R 0 Z X M m c X V v d D s s J n F 1 b 3 Q 7 Q 2 9 s d W 1 u M S Z x d W 9 0 O 1 0 i I C 8 + P E V u d H J 5 I F R 5 c G U 9 I k Z p b G x F c n J v c k N v Z G U i I F Z h b H V l P S J z V W 5 r b m 9 3 b i I g L z 4 8 R W 5 0 c n k g V H l w Z T 0 i R m l s b F N 0 Y X R 1 c y I g V m F s d W U 9 I n N D b 2 1 w b G V 0 Z S I g L z 4 8 R W 5 0 c n k g V H l w Z T 0 i R m l s b E N v d W 5 0 I i B W Y W x 1 Z T 0 i b D I 1 I i A v P j x F b n R y e S B U e X B l P S J S Z W x h d G l v b n N o a X B J b m Z v Q 2 9 u d G F p b m V y I i B W Y W x 1 Z T 0 i c 3 s m c X V v d D t j b 2 x 1 b W 5 D b 3 V u d C Z x d W 9 0 O z o 3 N i w m c X V v d D t r Z X l D b 2 x 1 b W 5 O Y W 1 l c y Z x d W 9 0 O z p b X S w m c X V v d D t x d W V y e V J l b G F 0 a W 9 u c 2 h p c H M m c X V v d D s 6 W 1 0 s J n F 1 b 3 Q 7 Y 2 9 s d W 1 u S W R l b n R p d G l l c y Z x d W 9 0 O z p b J n F 1 b 3 Q 7 U 2 V j d G l v b j E v S 0 R B L 0 F 1 d G 9 S Z W 1 v d m V k Q 2 9 s d W 1 u c z E u e 0 t y a W 5 n Z G F n L D B 9 J n F 1 b 3 Q 7 L C Z x d W 9 0 O 1 N l Y 3 R p b 2 4 x L 0 t E Q S 9 B d X R v U m V t b 3 Z l Z E N v b H V t b n M x L n t W Z X I u b n I s M X 0 m c X V v d D s s J n F 1 b 3 Q 7 U 2 V j d G l v b j E v S 0 R B L 0 F 1 d G 9 S Z W 1 v d m V k Q 2 9 s d W 1 u c z E u e 0 5 h Y W 0 g d m V y Z W 5 p Z 2 l u Z y w y f S Z x d W 9 0 O y w m c X V v d D t T Z W N 0 a W 9 u M S 9 L R E E v Q X V 0 b 1 J l b W 9 2 Z W R D b 2 x 1 b W 5 z M S 5 7 R G V s Z W d h d G l l L D N 9 J n F 1 b 3 Q 7 L C Z x d W 9 0 O 1 N l Y 3 R p b 2 4 x L 0 t E Q S 9 B d X R v U m V t b 3 Z l Z E N v b H V t b n M x L n t N d X p p Z W t r b 3 J w c y B i a W o g b W F y c y B l b i B k Z W Z p b F x 1 M D B F O S w 0 f S Z x d W 9 0 O y w m c X V v d D t T Z W N 0 a W 9 u M S 9 L R E E v Q X V 0 b 1 J l b W 9 2 Z W R D b 2 x 1 b W 5 z M S 5 7 R G V l b G 4 u I G p l d W d k a 2 9 u a W 5 n c 2 N o a W V 0 Z W 4 s N X 0 m c X V v d D s s J n F 1 b 3 Q 7 U 2 V j d G l v b j E v S 0 R B L 0 F 1 d G 9 S Z W 1 v d m V k Q 2 9 s d W 1 u c z E u e 0 1 h a i 4 g U 2 V u a W 9 y Z W 4 g a n V y Z X J l b i B i a W o g b W F y c y w 2 f S Z x d W 9 0 O y w m c X V v d D t T Z W N 0 a W 9 u M S 9 L R E E v Q X V 0 b 1 J l b W 9 2 Z W R D b 2 x 1 b W 5 z M S 5 7 T W F q L i B K Z X V n Z C B q d X J l c m V u I G J p a i B t Y X J z L D d 9 J n F 1 b 3 Q 7 L C Z x d W 9 0 O 1 N l Y 3 R p b 2 4 x L 0 t E Q S 9 B d X R v U m V t b 3 Z l Z E N v b H V t b n M x L n t L b 3 J w c y B z Z W 5 p b 3 J l b i w 4 f S Z x d W 9 0 O y w m c X V v d D t T Z W N 0 a W 9 u M S 9 L R E E v Q X V 0 b 1 J l b W 9 2 Z W R D b 2 x 1 b W 5 z M S 5 7 S n V u a W 9 y Z W 4 g a 2 9 y c H M g M S w 5 f S Z x d W 9 0 O y w m c X V v d D t T Z W N 0 a W 9 u M S 9 L R E E v Q X V 0 b 1 J l b W 9 2 Z W R D b 2 x 1 b W 5 z M S 5 7 S n V u a W 9 y Z W 4 g a 2 9 y c H M g M i w x M H 0 m c X V v d D s s J n F 1 b 3 Q 7 U 2 V j d G l v b j E v S 0 R B L 0 F 1 d G 9 S Z W 1 v d m V k Q 2 9 s d W 1 u c z E u e 0 F z c G l y Y W 5 0 Z W 4 g a 2 9 y c H M g M S w x M X 0 m c X V v d D s s J n F 1 b 3 Q 7 U 2 V j d G l v b j E v S 0 R B L 0 F 1 d G 9 S Z W 1 v d m V k Q 2 9 s d W 1 u c z E u e 0 F z c G l y Y W 5 0 Z W 4 g a 2 9 y c H M g M i w x M n 0 m c X V v d D s s J n F 1 b 3 Q 7 U 2 V j d G l v b j E v S 0 R B L 0 F 1 d G 9 S Z W 1 v d m V k Q 2 9 s d W 1 u c z E u e 0 F j c m 9 i Y X R p c 2 N o I H N l b m l v c m V u L D E z f S Z x d W 9 0 O y w m c X V v d D t T Z W N 0 a W 9 u M S 9 L R E E v Q X V 0 b 1 J l b W 9 2 Z W R D b 2 x 1 b W 5 z M S 5 7 Q W N y b 2 J h d G l z Y 2 g g a n V u a W 9 y Z W 4 s M T R 9 J n F 1 b 3 Q 7 L C Z x d W 9 0 O 1 N l Y 3 R p b 2 4 x L 0 t E Q S 9 B d X R v U m V t b 3 Z l Z E N v b H V t b n M x L n t B Y 3 J v Y m F 0 a X N j a C B h c 3 B p c m F u d G V u L D E 1 f S Z x d W 9 0 O y w m c X V v d D t T Z W N 0 a W 9 u M S 9 L R E E v Q X V 0 b 1 J l b W 9 2 Z W R D b 2 x 1 b W 5 z M S 5 7 U 2 h v d y B z Z W 5 p b 3 J l b i w x N n 0 m c X V v d D s s J n F 1 b 3 Q 7 U 2 V j d G l v b j E v S 0 R B L 0 F 1 d G 9 S Z W 1 v d m V k Q 2 9 s d W 1 u c z E u e 1 N o b 3 c g a n V u a W 9 y Z W 4 s M T d 9 J n F 1 b 3 Q 7 L C Z x d W 9 0 O 1 N l Y 3 R p b 2 4 x L 0 t E Q S 9 B d X R v U m V t b 3 Z l Z E N v b H V t b n M x L n t T a G 9 3 I G F z c G l y Y W 5 0 Z W 4 s M T h 9 J n F 1 b 3 Q 7 L C Z x d W 9 0 O 1 N l Y 3 R p b 2 4 x L 0 t E Q S 9 B d X R v U m V t b 3 Z l Z E N v b H V t b n M x L n t T Z W 5 p b 3 J l b i B p b m R p d i 4 s M T l 9 J n F 1 b 3 Q 7 L C Z x d W 9 0 O 1 N l Y 3 R p b 2 4 x L 0 t E Q S 9 B d X R v U m V t b 3 Z l Z E N v b H V t b n M x L n t K d W 5 p b 3 J l b i B p b m R p d i 4 s M j B 9 J n F 1 b 3 Q 7 L C Z x d W 9 0 O 1 N l Y 3 R p b 2 4 x L 0 t E Q S 9 B d X R v U m V t b 3 Z l Z E N v b H V t b n M x L n t B c 3 B p c m F u d G V u I G l u Z G l 2 L i w y M X 0 m c X V v d D s s J n F 1 b 3 Q 7 U 2 V j d G l v b j E v S 0 R B L 0 F 1 d G 9 S Z W 1 v d m V k Q 2 9 s d W 1 u c z E u e 1 N l b i 4 g a W 5 k I G 9 w Z 2 V n Z X Z l b i B u Y W 1 l b i w y M n 0 m c X V v d D s s J n F 1 b 3 Q 7 U 2 V j d G l v b j E v S 0 R B L 0 F 1 d G 9 S Z W 1 v d m V k Q 2 9 s d W 1 u c z E u e 0 p 1 b i 4 g a W 5 k I G 9 w Z 2 V n Z X Z l b i B u Y W 1 l b i w y M 3 0 m c X V v d D s s J n F 1 b 3 Q 7 U 2 V j d G l v b j E v S 0 R B L 0 F 1 d G 9 S Z W 1 v d m V k Q 2 9 s d W 1 u c z E u e 0 F z c C 4 g a W 5 k I G 9 w Z 2 V n Z X Z l b i B u Y W 1 l b i w y N H 0 m c X V v d D s s J n F 1 b 3 Q 7 U 2 V j d G l v b j E v S 0 R B L 0 F 1 d G 9 S Z W 1 v d m V k Q 2 9 s d W 1 u c z E u e 0 h v b 2 Z k a 2 9 y c H M s M j V 9 J n F 1 b 3 Q 7 L C Z x d W 9 0 O 1 N l Y 3 R p b 2 4 x L 0 t E Q S 9 B d X R v U m V t b 3 Z l Z E N v b H V t b n M x L n s y Z S B r b 3 J w c y w y N n 0 m c X V v d D s s J n F 1 b 3 Q 7 U 2 V j d G l v b j E v S 0 R B L 0 F 1 d G 9 S Z W 1 v d m V k Q 2 9 s d W 1 u c z E u e 0 d y b 2 V w Z W 4 s I H R l Y W 1 z L C B l b n N l b W J s Z X M g Z W 4 g Z H V v X H U w M D I 3 c y w y N 3 0 m c X V v d D s s J n F 1 b 3 Q 7 U 2 V j d G l v b j E v S 0 R B L 0 F 1 d G 9 S Z W 1 v d m V k Q 2 9 s d W 1 u c z E u e 1 N l b m l v c m V u L D I 4 f S Z x d W 9 0 O y w m c X V v d D t T Z W N 0 a W 9 u M S 9 L R E E v Q X V 0 b 1 J l b W 9 2 Z W R D b 2 x 1 b W 5 z M S 5 7 S m 9 u Z y B 2 b 2 x 3 Y X N z Z W 5 l L D I 5 f S Z x d W 9 0 O y w m c X V v d D t T Z W N 0 a W 9 u M S 9 L R E E v Q X V 0 b 1 J l b W 9 2 Z W R D b 2 x 1 b W 5 z M S 5 7 S n V u a W 9 y Z W 4 s M z B 9 J n F 1 b 3 Q 7 L C Z x d W 9 0 O 1 N l Y 3 R p b 2 4 x L 0 t E Q S 9 B d X R v U m V t b 3 Z l Z E N v b H V t b n M x L n t B c 3 B p c m F u d G V u L D M x f S Z x d W 9 0 O y w m c X V v d D t T Z W N 0 a W 9 u M S 9 L R E E v Q X V 0 b 1 J l b W 9 2 Z W R D b 2 x 1 b W 5 z M S 5 7 T 3 B n Z W d l d m V u I H N l b m l v c m V u L D M y f S Z x d W 9 0 O y w m c X V v d D t T Z W N 0 a W 9 u M S 9 L R E E v Q X V 0 b 1 J l b W 9 2 Z W R D b 2 x 1 b W 5 z M S 5 7 T 3 B n Z W d l d m V u I G p v b m c g d m 9 s d 2 F z c 2 V u Z S w z M 3 0 m c X V v d D s s J n F 1 b 3 Q 7 U 2 V j d G l v b j E v S 0 R B L 0 F 1 d G 9 S Z W 1 v d m V k Q 2 9 s d W 1 u c z E u e 0 9 w Z 2 V n Z X Z l b i B q d W 5 p b 3 J l b i w z N H 0 m c X V v d D s s J n F 1 b 3 Q 7 U 2 V j d G l v b j E v S 0 R B L 0 F 1 d G 9 S Z W 1 v d m V k Q 2 9 s d W 1 u c z E u e 0 9 w Z 2 V n Z X Z l b i B h c 3 B p c m F u d G V u L D M 1 f S Z x d W 9 0 O y w m c X V v d D t T Z W N 0 a W 9 u M S 9 L R E E v Q X V 0 b 1 J l b W 9 2 Z W R D b 2 x 1 b W 5 z M S 5 7 T W F y a 2 V 0 Z W 5 0 c 3 R l c n M s M z Z 9 J n F 1 b 3 Q 7 L C Z x d W 9 0 O 1 N l Y 3 R p b 2 4 x L 0 t E Q S 9 B d X R v U m V t b 3 Z l Z E N v b H V t b n M x L n t M d W N o d G d l d 2 V l c i w z N 3 0 m c X V v d D s s J n F 1 b 3 Q 7 U 2 V j d G l v b j E v S 0 R B L 0 F 1 d G 9 S Z W 1 v d m V k Q 2 9 s d W 1 u c z E u e 0 F h b n R h b C B s d W N o d G d l d 2 V l c n N j a H V 0 d G V y c y w z O H 0 m c X V v d D s s J n F 1 b 3 Q 7 U 2 V j d G l v b j E v S 0 R B L 0 F 1 d G 9 S Z W 1 v d m V k Q 2 9 s d W 1 u c z E u e 0 x 1 Y 2 h 0 c G l z d G 9 v b C w z O X 0 m c X V v d D s s J n F 1 b 3 Q 7 U 2 V j d G l v b j E v S 0 R B L 0 F 1 d G 9 S Z W 1 v d m V k Q 2 9 s d W 1 u c z E u e 0 F h b n R h b C B s d W N o d H B p c 3 R v b 2 x z Y 2 h 1 d H R l c n M s N D B 9 J n F 1 b 3 Q 7 L C Z x d W 9 0 O 1 N l Y 3 R p b 2 4 x L 0 t E Q S 9 B d X R v U m V t b 3 Z l Z E N v b H V t b n M x L n t I Y W 5 k Y m 9 v Z y w 0 M X 0 m c X V v d D s s J n F 1 b 3 Q 7 U 2 V j d G l v b j E v S 0 R B L 0 F 1 d G 9 S Z W 1 v d m V k Q 2 9 s d W 1 u c z E u e 0 F h b n R h b C B o Y W 5 k Y m 9 v Z 3 N j a H V 0 d G V y c y w 0 M n 0 m c X V v d D s s J n F 1 b 3 Q 7 U 2 V j d G l v b j E v S 0 R B L 0 F 1 d G 9 S Z W 1 v d m V k Q 2 9 s d W 1 u c z E u e 0 t y d W l z Y m 9 v Z y w 0 M 3 0 m c X V v d D s s J n F 1 b 3 Q 7 U 2 V j d G l v b j E v S 0 R B L 0 F 1 d G 9 S Z W 1 v d m V k Q 2 9 s d W 1 u c z E u e 0 F h b n R h b C B r c n V p c 2 J v b 2 d z Y 2 h 1 d H R l c n M s N D R 9 J n F 1 b 3 Q 7 L C Z x d W 9 0 O 1 N l Y 3 R p b 2 4 x L 0 t E Q S 9 B d X R v U m V t b 3 Z l Z E N v b H V t b n M x L n t M d W N o d G d l d 2 V l c i B q Z X V n Z C B u a W V 0 I G 9 1 Z G V y I G R h b i A x N y B q Y W F y L i w 0 N X 0 m c X V v d D s s J n F 1 b 3 Q 7 U 2 V j d G l v b j E v S 0 R B L 0 F 1 d G 9 S Z W 1 v d m V k Q 2 9 s d W 1 u c z E u e 0 F h b n R h b C B r b 3 J w c 2 V u L D Q 2 f S Z x d W 9 0 O y w m c X V v d D t T Z W N 0 a W 9 u M S 9 L R E E v Q X V 0 b 1 J l b W 9 2 Z W R D b 2 x 1 b W 5 z M S 5 7 T 3 B n Z W d l d m V u I G p l d W d k a 2 9 y c H N l b i B M R y w 0 N 3 0 m c X V v d D s s J n F 1 b 3 Q 7 U 2 V j d G l v b j E v S 0 R B L 0 F 1 d G 9 S Z W 1 v d m V k Q 2 9 s d W 1 u c z E u e 1 R v d G F h b C B h Y W 5 0 Y W w g Z G V l b G 5 l b W V y c y w 0 O H 0 m c X V v d D s s J n F 1 b 3 Q 7 U 2 V j d G l v b j E v S 0 R B L 0 F 1 d G 9 S Z W 1 v d m V k Q 2 9 s d W 1 u c z E u e 1 d h Y X J 2 Y W 4 g Y W F u d G F s I G p l d W d k I C h 0 L 2 0 g M T U g a m F h c i k s N D l 9 J n F 1 b 3 Q 7 L C Z x d W 9 0 O 1 N l Y 3 R p b 2 4 x L 0 t E Q S 9 B d X R v U m V t b 3 Z l Z E N v b H V t b n M x L n t L Y W 5 v b i B l d G M u L D U w f S Z x d W 9 0 O y w m c X V v d D t T Z W N 0 a W 9 u M S 9 L R E E v Q X V 0 b 1 J l b W 9 2 Z W R D b 2 x 1 b W 5 z M S 5 7 U G F h c m R l b i B l b i 9 v Z i B r b 2 V 0 c 2 V u L D U x f S Z x d W 9 0 O y w m c X V v d D t T Z W N 0 a W 9 u M S 9 L R E E v Q X V 0 b 1 J l b W 9 2 Z W R D b 2 x 1 b W 5 z M S 5 7 V G 9 l b G l j a H R p b m c v b 3 B t Z X J r a W 5 n Z W 4 s N T J 9 J n F 1 b 3 Q 7 L C Z x d W 9 0 O 1 N l Y 3 R p b 2 4 x L 0 t E Q S 9 B d X R v U m V t b 3 Z l Z E N v b H V t b n M x L n t J b n p l b m R p b m c t S U Q s N T N 9 J n F 1 b 3 Q 7 L C Z x d W 9 0 O 1 N l Y 3 R p b 2 4 x L 0 t E Q S 9 B d X R v U m V t b 3 Z l Z E N v b H V t b n M x L n t J b n p l b m R k Y X R 1 b S w 1 N H 0 m c X V v d D s s J n F 1 b 3 Q 7 U 2 V j d G l v b j E v S 0 R B L 0 F 1 d G 9 S Z W 1 v d m V k Q 2 9 s d W 1 u c z E u e 0 R h d G U g V X B k Y X R l Z C w 1 N X 0 m c X V v d D s s J n F 1 b 3 Q 7 U 2 V j d G l v b j E v S 0 R B L 0 F 1 d G 9 S Z W 1 v d m V k Q 2 9 s d W 1 u c z E u e 0 5 h Y W 0 g d m F u I G h l d C B o b 2 9 m Z G t v c n B z L D U 2 f S Z x d W 9 0 O y w m c X V v d D t T Z W N 0 a W 9 u M S 9 L R E E v Q X V 0 b 1 J l b W 9 2 Z W R D b 2 x 1 b W 5 z M S 5 7 W m F s I G 9 w I H R y Z W R l b i B h b H M g K G h v b 2 Z k a 2 9 y c H M p L D U 3 f S Z x d W 9 0 O y w m c X V v d D t T Z W N 0 a W 9 u M S 9 L R E E v Q X V 0 b 1 J l b W 9 2 Z W R D b 2 x 1 b W 5 z M S 5 7 V m 9 y b S B 2 Y W 4 g d H d l Z S B t d X p p Z W t 3 Z X J r Z W 4 g K G h v b 2 Z k a 2 9 y c H M p L D U 4 f S Z x d W 9 0 O y w m c X V v d D t T Z W N 0 a W 9 u M S 9 L R E E v Q X V 0 b 1 J l b W 9 2 Z W R D b 2 x 1 b W 5 z M S 5 7 W m F s I H V p d G t v b W V u I G l u I G R l O i A o a G 9 v Z m R r b 3 J w c y k s N T l 9 J n F 1 b 3 Q 7 L C Z x d W 9 0 O 1 N l Y 3 R p b 2 4 x L 0 t E Q S 9 B d X R v U m V t b 3 Z l Z E N v b H V t b n M x L n t N d X p p Z W t 3 Z X J r M S A o a G 9 v Z m R r b 3 J w c y k s N j B 9 J n F 1 b 3 Q 7 L C Z x d W 9 0 O 1 N l Y 3 R p b 2 4 x L 0 t E Q S 9 B d X R v U m V t b 3 Z l Z E N v b H V t b n M x L n t N d X p p Z W t 3 Z X J r M i A o a G 9 v Z m R r b 3 J w c y k s N j F 9 J n F 1 b 3 Q 7 L C Z x d W 9 0 O 1 N l Y 3 R p b 2 4 x L 0 t E Q S 9 B d X R v U m V t b 3 Z l Z E N v b H V t b n M x L n t L b 3 J w c y B i Z X N 0 Y W F 0 I H V p d C A u L i 4 g Z G V l b G 5 l b W V y c y A o a G 9 v Z m R r b 3 J w c y k s N j J 9 J n F 1 b 3 Q 7 L C Z x d W 9 0 O 1 N l Y 3 R p b 2 4 x L 0 t E Q S 9 B d X R v U m V t b 3 Z l Z E N v b H V t b n M x L n t O Y W F t I H Z h b i B o Z X Q g M m U g a 2 9 y c H M s N j N 9 J n F 1 b 3 Q 7 L C Z x d W 9 0 O 1 N l Y 3 R p b 2 4 x L 0 t E Q S 9 B d X R v U m V t b 3 Z l Z E N v b H V t b n M x L n t a Y W w g b 3 A g d H J l Z G V u I G F s c y A o M m U g a 2 9 y c H M p L D Y 0 f S Z x d W 9 0 O y w m c X V v d D t T Z W N 0 a W 9 u M S 9 L R E E v Q X V 0 b 1 J l b W 9 2 Z W R D b 2 x 1 b W 5 z M S 5 7 V m 9 y b S B 2 Y W 4 g d H d l Z S B t d X p p Z W t 3 Z X J r Z W 4 g K D J l I G t v c n B z K S w 2 N X 0 m c X V v d D s s J n F 1 b 3 Q 7 U 2 V j d G l v b j E v S 0 R B L 0 F 1 d G 9 S Z W 1 v d m V k Q 2 9 s d W 1 u c z E u e 1 p h b C B 1 a X R r b 2 1 l b i B p b i B k Z T o g K D J l I G t v c n B z K S w 2 N n 0 m c X V v d D s s J n F 1 b 3 Q 7 U 2 V j d G l v b j E v S 0 R B L 0 F 1 d G 9 S Z W 1 v d m V k Q 2 9 s d W 1 u c z E u e 0 1 1 e m l l a 3 d l c m s x I C g y Z S B r b 3 J w c y k s N j d 9 J n F 1 b 3 Q 7 L C Z x d W 9 0 O 1 N l Y 3 R p b 2 4 x L 0 t E Q S 9 B d X R v U m V t b 3 Z l Z E N v b H V t b n M x L n t N d X p p Z W t 3 Z X J r M i A o M m U g a 2 9 y c H M p L D Y 4 f S Z x d W 9 0 O y w m c X V v d D t T Z W N 0 a W 9 u M S 9 L R E E v Q X V 0 b 1 J l b W 9 2 Z W R D b 2 x 1 b W 5 z M S 5 7 S 2 9 y c H M g Y m V z d G F h d C B 1 a X Q g L i 4 u I G R l Z W x u Z W 1 l c n M g K D J l I G t v c n B z K S w 2 O X 0 m c X V v d D s s J n F 1 b 3 Q 7 U 2 V j d G l v b j E v S 0 R B L 0 F 1 d G 9 S Z W 1 v d m V k Q 2 9 s d W 1 u c z E u e 0 1 l Y 2 h h b m l z Y 2 h l I G 1 1 e m l l a y w 3 M H 0 m c X V v d D s s J n F 1 b 3 Q 7 U 2 V j d G l v b j E v S 0 R B L 0 F 1 d G 9 S Z W 1 v d m V k Q 2 9 s d W 1 u c z E u e 0 9 u Z G V y Z G V s Z W 4 s N z F 9 J n F 1 b 3 Q 7 L C Z x d W 9 0 O 1 N l Y 3 R p b 2 4 x L 0 t E Q S 9 B d X R v U m V t b 3 Z l Z E N v b H V t b n M x L n t T Z W N 0 a W V z L D c y f S Z x d W 9 0 O y w m c X V v d D t T Z W N 0 a W 9 u M S 9 L R E E v Q X V 0 b 1 J l b W 9 2 Z W R D b 2 x 1 b W 5 z M S 5 7 T G V l Z n R p a m R z Y 2 F 0 Z W d v c m l l L D c z f S Z x d W 9 0 O y w m c X V v d D t T Z W N 0 a W 9 u M S 9 L R E E v Q X V 0 b 1 J l b W 9 2 Z W R D b 2 x 1 b W 5 z M S 5 7 Q W F u d G F s I G 9 w Z 2 V n Z X Z l b i B t Y W p v c m V 0 d G V z L D c 0 f S Z x d W 9 0 O y w m c X V v d D t T Z W N 0 a W 9 u M S 9 L R E E v Q X V 0 b 1 J l b W 9 2 Z W R D b 2 x 1 b W 5 z M S 5 7 Q 2 9 s d W 1 u M S w 3 N X 0 m c X V v d D t d L C Z x d W 9 0 O 0 N v b H V t b k N v d W 5 0 J n F 1 b 3 Q 7 O j c 2 L C Z x d W 9 0 O 0 t l e U N v b H V t b k 5 h b W V z J n F 1 b 3 Q 7 O l t d L C Z x d W 9 0 O 0 N v b H V t b k l k Z W 5 0 a X R p Z X M m c X V v d D s 6 W y Z x d W 9 0 O 1 N l Y 3 R p b 2 4 x L 0 t E Q S 9 B d X R v U m V t b 3 Z l Z E N v b H V t b n M x L n t L c m l u Z 2 R h Z y w w f S Z x d W 9 0 O y w m c X V v d D t T Z W N 0 a W 9 u M S 9 L R E E v Q X V 0 b 1 J l b W 9 2 Z W R D b 2 x 1 b W 5 z M S 5 7 V m V y L m 5 y L D F 9 J n F 1 b 3 Q 7 L C Z x d W 9 0 O 1 N l Y 3 R p b 2 4 x L 0 t E Q S 9 B d X R v U m V t b 3 Z l Z E N v b H V t b n M x L n t O Y W F t I H Z l c m V u a W d p b m c s M n 0 m c X V v d D s s J n F 1 b 3 Q 7 U 2 V j d G l v b j E v S 0 R B L 0 F 1 d G 9 S Z W 1 v d m V k Q 2 9 s d W 1 u c z E u e 0 R l b G V n Y X R p Z S w z f S Z x d W 9 0 O y w m c X V v d D t T Z W N 0 a W 9 u M S 9 L R E E v Q X V 0 b 1 J l b W 9 2 Z W R D b 2 x 1 b W 5 z M S 5 7 T X V 6 a W V r a 2 9 y c H M g Y m l q I G 1 h c n M g Z W 4 g Z G V m a W x c d T A w R T k s N H 0 m c X V v d D s s J n F 1 b 3 Q 7 U 2 V j d G l v b j E v S 0 R B L 0 F 1 d G 9 S Z W 1 v d m V k Q 2 9 s d W 1 u c z E u e 0 R l Z W x u L i B q Z X V n Z G t v b m l u Z 3 N j a G l l d G V u L D V 9 J n F 1 b 3 Q 7 L C Z x d W 9 0 O 1 N l Y 3 R p b 2 4 x L 0 t E Q S 9 B d X R v U m V t b 3 Z l Z E N v b H V t b n M x L n t N Y W o u I F N l b m l v c m V u I G p 1 c m V y Z W 4 g Y m l q I G 1 h c n M s N n 0 m c X V v d D s s J n F 1 b 3 Q 7 U 2 V j d G l v b j E v S 0 R B L 0 F 1 d G 9 S Z W 1 v d m V k Q 2 9 s d W 1 u c z E u e 0 1 h a i 4 g S m V 1 Z 2 Q g a n V y Z X J l b i B i a W o g b W F y c y w 3 f S Z x d W 9 0 O y w m c X V v d D t T Z W N 0 a W 9 u M S 9 L R E E v Q X V 0 b 1 J l b W 9 2 Z W R D b 2 x 1 b W 5 z M S 5 7 S 2 9 y c H M g c 2 V u a W 9 y Z W 4 s O H 0 m c X V v d D s s J n F 1 b 3 Q 7 U 2 V j d G l v b j E v S 0 R B L 0 F 1 d G 9 S Z W 1 v d m V k Q 2 9 s d W 1 u c z E u e 0 p 1 b m l v c m V u I G t v c n B z I D E s O X 0 m c X V v d D s s J n F 1 b 3 Q 7 U 2 V j d G l v b j E v S 0 R B L 0 F 1 d G 9 S Z W 1 v d m V k Q 2 9 s d W 1 u c z E u e 0 p 1 b m l v c m V u I G t v c n B z I D I s M T B 9 J n F 1 b 3 Q 7 L C Z x d W 9 0 O 1 N l Y 3 R p b 2 4 x L 0 t E Q S 9 B d X R v U m V t b 3 Z l Z E N v b H V t b n M x L n t B c 3 B p c m F u d G V u I G t v c n B z I D E s M T F 9 J n F 1 b 3 Q 7 L C Z x d W 9 0 O 1 N l Y 3 R p b 2 4 x L 0 t E Q S 9 B d X R v U m V t b 3 Z l Z E N v b H V t b n M x L n t B c 3 B p c m F u d G V u I G t v c n B z I D I s M T J 9 J n F 1 b 3 Q 7 L C Z x d W 9 0 O 1 N l Y 3 R p b 2 4 x L 0 t E Q S 9 B d X R v U m V t b 3 Z l Z E N v b H V t b n M x L n t B Y 3 J v Y m F 0 a X N j a C B z Z W 5 p b 3 J l b i w x M 3 0 m c X V v d D s s J n F 1 b 3 Q 7 U 2 V j d G l v b j E v S 0 R B L 0 F 1 d G 9 S Z W 1 v d m V k Q 2 9 s d W 1 u c z E u e 0 F j c m 9 i Y X R p c 2 N o I G p 1 b m l v c m V u L D E 0 f S Z x d W 9 0 O y w m c X V v d D t T Z W N 0 a W 9 u M S 9 L R E E v Q X V 0 b 1 J l b W 9 2 Z W R D b 2 x 1 b W 5 z M S 5 7 Q W N y b 2 J h d G l z Y 2 g g Y X N w a X J h b n R l b i w x N X 0 m c X V v d D s s J n F 1 b 3 Q 7 U 2 V j d G l v b j E v S 0 R B L 0 F 1 d G 9 S Z W 1 v d m V k Q 2 9 s d W 1 u c z E u e 1 N o b 3 c g c 2 V u a W 9 y Z W 4 s M T Z 9 J n F 1 b 3 Q 7 L C Z x d W 9 0 O 1 N l Y 3 R p b 2 4 x L 0 t E Q S 9 B d X R v U m V t b 3 Z l Z E N v b H V t b n M x L n t T a G 9 3 I G p 1 b m l v c m V u L D E 3 f S Z x d W 9 0 O y w m c X V v d D t T Z W N 0 a W 9 u M S 9 L R E E v Q X V 0 b 1 J l b W 9 2 Z W R D b 2 x 1 b W 5 z M S 5 7 U 2 h v d y B h c 3 B p c m F u d G V u L D E 4 f S Z x d W 9 0 O y w m c X V v d D t T Z W N 0 a W 9 u M S 9 L R E E v Q X V 0 b 1 J l b W 9 2 Z W R D b 2 x 1 b W 5 z M S 5 7 U 2 V u a W 9 y Z W 4 g a W 5 k a X Y u L D E 5 f S Z x d W 9 0 O y w m c X V v d D t T Z W N 0 a W 9 u M S 9 L R E E v Q X V 0 b 1 J l b W 9 2 Z W R D b 2 x 1 b W 5 z M S 5 7 S n V u a W 9 y Z W 4 g a W 5 k a X Y u L D I w f S Z x d W 9 0 O y w m c X V v d D t T Z W N 0 a W 9 u M S 9 L R E E v Q X V 0 b 1 J l b W 9 2 Z W R D b 2 x 1 b W 5 z M S 5 7 Q X N w a X J h b n R l b i B p b m R p d i 4 s M j F 9 J n F 1 b 3 Q 7 L C Z x d W 9 0 O 1 N l Y 3 R p b 2 4 x L 0 t E Q S 9 B d X R v U m V t b 3 Z l Z E N v b H V t b n M x L n t T Z W 4 u I G l u Z C B v c G d l Z 2 V 2 Z W 4 g b m F t Z W 4 s M j J 9 J n F 1 b 3 Q 7 L C Z x d W 9 0 O 1 N l Y 3 R p b 2 4 x L 0 t E Q S 9 B d X R v U m V t b 3 Z l Z E N v b H V t b n M x L n t K d W 4 u I G l u Z C B v c G d l Z 2 V 2 Z W 4 g b m F t Z W 4 s M j N 9 J n F 1 b 3 Q 7 L C Z x d W 9 0 O 1 N l Y 3 R p b 2 4 x L 0 t E Q S 9 B d X R v U m V t b 3 Z l Z E N v b H V t b n M x L n t B c 3 A u I G l u Z C B v c G d l Z 2 V 2 Z W 4 g b m F t Z W 4 s M j R 9 J n F 1 b 3 Q 7 L C Z x d W 9 0 O 1 N l Y 3 R p b 2 4 x L 0 t E Q S 9 B d X R v U m V t b 3 Z l Z E N v b H V t b n M x L n t I b 2 9 m Z G t v c n B z L D I 1 f S Z x d W 9 0 O y w m c X V v d D t T Z W N 0 a W 9 u M S 9 L R E E v Q X V 0 b 1 J l b W 9 2 Z W R D b 2 x 1 b W 5 z M S 5 7 M m U g a 2 9 y c H M s M j Z 9 J n F 1 b 3 Q 7 L C Z x d W 9 0 O 1 N l Y 3 R p b 2 4 x L 0 t E Q S 9 B d X R v U m V t b 3 Z l Z E N v b H V t b n M x L n t H c m 9 l c G V u L C B 0 Z W F t c y w g Z W 5 z Z W 1 i b G V z I G V u I G R 1 b 1 x 1 M D A y N 3 M s M j d 9 J n F 1 b 3 Q 7 L C Z x d W 9 0 O 1 N l Y 3 R p b 2 4 x L 0 t E Q S 9 B d X R v U m V t b 3 Z l Z E N v b H V t b n M x L n t T Z W 5 p b 3 J l b i w y O H 0 m c X V v d D s s J n F 1 b 3 Q 7 U 2 V j d G l v b j E v S 0 R B L 0 F 1 d G 9 S Z W 1 v d m V k Q 2 9 s d W 1 u c z E u e 0 p v b m c g d m 9 s d 2 F z c 2 V u Z S w y O X 0 m c X V v d D s s J n F 1 b 3 Q 7 U 2 V j d G l v b j E v S 0 R B L 0 F 1 d G 9 S Z W 1 v d m V k Q 2 9 s d W 1 u c z E u e 0 p 1 b m l v c m V u L D M w f S Z x d W 9 0 O y w m c X V v d D t T Z W N 0 a W 9 u M S 9 L R E E v Q X V 0 b 1 J l b W 9 2 Z W R D b 2 x 1 b W 5 z M S 5 7 Q X N w a X J h b n R l b i w z M X 0 m c X V v d D s s J n F 1 b 3 Q 7 U 2 V j d G l v b j E v S 0 R B L 0 F 1 d G 9 S Z W 1 v d m V k Q 2 9 s d W 1 u c z E u e 0 9 w Z 2 V n Z X Z l b i B z Z W 5 p b 3 J l b i w z M n 0 m c X V v d D s s J n F 1 b 3 Q 7 U 2 V j d G l v b j E v S 0 R B L 0 F 1 d G 9 S Z W 1 v d m V k Q 2 9 s d W 1 u c z E u e 0 9 w Z 2 V n Z X Z l b i B q b 2 5 n I H Z v b H d h c 3 N l b m U s M z N 9 J n F 1 b 3 Q 7 L C Z x d W 9 0 O 1 N l Y 3 R p b 2 4 x L 0 t E Q S 9 B d X R v U m V t b 3 Z l Z E N v b H V t b n M x L n t P c G d l Z 2 V 2 Z W 4 g a n V u a W 9 y Z W 4 s M z R 9 J n F 1 b 3 Q 7 L C Z x d W 9 0 O 1 N l Y 3 R p b 2 4 x L 0 t E Q S 9 B d X R v U m V t b 3 Z l Z E N v b H V t b n M x L n t P c G d l Z 2 V 2 Z W 4 g Y X N w a X J h b n R l b i w z N X 0 m c X V v d D s s J n F 1 b 3 Q 7 U 2 V j d G l v b j E v S 0 R B L 0 F 1 d G 9 S Z W 1 v d m V k Q 2 9 s d W 1 u c z E u e 0 1 h c m t l d G V u d H N 0 Z X J z L D M 2 f S Z x d W 9 0 O y w m c X V v d D t T Z W N 0 a W 9 u M S 9 L R E E v Q X V 0 b 1 J l b W 9 2 Z W R D b 2 x 1 b W 5 z M S 5 7 T H V j a H R n Z X d l Z X I s M z d 9 J n F 1 b 3 Q 7 L C Z x d W 9 0 O 1 N l Y 3 R p b 2 4 x L 0 t E Q S 9 B d X R v U m V t b 3 Z l Z E N v b H V t b n M x L n t B Y W 5 0 Y W w g b H V j a H R n Z X d l Z X J z Y 2 h 1 d H R l c n M s M z h 9 J n F 1 b 3 Q 7 L C Z x d W 9 0 O 1 N l Y 3 R p b 2 4 x L 0 t E Q S 9 B d X R v U m V t b 3 Z l Z E N v b H V t b n M x L n t M d W N o d H B p c 3 R v b 2 w s M z l 9 J n F 1 b 3 Q 7 L C Z x d W 9 0 O 1 N l Y 3 R p b 2 4 x L 0 t E Q S 9 B d X R v U m V t b 3 Z l Z E N v b H V t b n M x L n t B Y W 5 0 Y W w g b H V j a H R w a X N 0 b 2 9 s c 2 N o d X R 0 Z X J z L D Q w f S Z x d W 9 0 O y w m c X V v d D t T Z W N 0 a W 9 u M S 9 L R E E v Q X V 0 b 1 J l b W 9 2 Z W R D b 2 x 1 b W 5 z M S 5 7 S G F u Z G J v b 2 c s N D F 9 J n F 1 b 3 Q 7 L C Z x d W 9 0 O 1 N l Y 3 R p b 2 4 x L 0 t E Q S 9 B d X R v U m V t b 3 Z l Z E N v b H V t b n M x L n t B Y W 5 0 Y W w g a G F u Z G J v b 2 d z Y 2 h 1 d H R l c n M s N D J 9 J n F 1 b 3 Q 7 L C Z x d W 9 0 O 1 N l Y 3 R p b 2 4 x L 0 t E Q S 9 B d X R v U m V t b 3 Z l Z E N v b H V t b n M x L n t L c n V p c 2 J v b 2 c s N D N 9 J n F 1 b 3 Q 7 L C Z x d W 9 0 O 1 N l Y 3 R p b 2 4 x L 0 t E Q S 9 B d X R v U m V t b 3 Z l Z E N v b H V t b n M x L n t B Y W 5 0 Y W w g a 3 J 1 a X N i b 2 9 n c 2 N o d X R 0 Z X J z L D Q 0 f S Z x d W 9 0 O y w m c X V v d D t T Z W N 0 a W 9 u M S 9 L R E E v Q X V 0 b 1 J l b W 9 2 Z W R D b 2 x 1 b W 5 z M S 5 7 T H V j a H R n Z X d l Z X I g a m V 1 Z 2 Q g b m l l d C B v d W R l c i B k Y W 4 g M T c g a m F h c i 4 s N D V 9 J n F 1 b 3 Q 7 L C Z x d W 9 0 O 1 N l Y 3 R p b 2 4 x L 0 t E Q S 9 B d X R v U m V t b 3 Z l Z E N v b H V t b n M x L n t B Y W 5 0 Y W w g a 2 9 y c H N l b i w 0 N n 0 m c X V v d D s s J n F 1 b 3 Q 7 U 2 V j d G l v b j E v S 0 R B L 0 F 1 d G 9 S Z W 1 v d m V k Q 2 9 s d W 1 u c z E u e 0 9 w Z 2 V n Z X Z l b i B q Z X V n Z G t v c n B z Z W 4 g T E c s N D d 9 J n F 1 b 3 Q 7 L C Z x d W 9 0 O 1 N l Y 3 R p b 2 4 x L 0 t E Q S 9 B d X R v U m V t b 3 Z l Z E N v b H V t b n M x L n t U b 3 R h Y W w g Y W F u d G F s I G R l Z W x u Z W 1 l c n M s N D h 9 J n F 1 b 3 Q 7 L C Z x d W 9 0 O 1 N l Y 3 R p b 2 4 x L 0 t E Q S 9 B d X R v U m V t b 3 Z l Z E N v b H V t b n M x L n t X Y W F y d m F u I G F h b n R h b C B q Z X V n Z C A o d C 9 t I D E 1 I G p h Y X I p L D Q 5 f S Z x d W 9 0 O y w m c X V v d D t T Z W N 0 a W 9 u M S 9 L R E E v Q X V 0 b 1 J l b W 9 2 Z W R D b 2 x 1 b W 5 z M S 5 7 S 2 F u b 2 4 g Z X R j L i w 1 M H 0 m c X V v d D s s J n F 1 b 3 Q 7 U 2 V j d G l v b j E v S 0 R B L 0 F 1 d G 9 S Z W 1 v d m V k Q 2 9 s d W 1 u c z E u e 1 B h Y X J k Z W 4 g Z W 4 v b 2 Y g a 2 9 l d H N l b i w 1 M X 0 m c X V v d D s s J n F 1 b 3 Q 7 U 2 V j d G l v b j E v S 0 R B L 0 F 1 d G 9 S Z W 1 v d m V k Q 2 9 s d W 1 u c z E u e 1 R v Z W x p Y 2 h 0 a W 5 n L 2 9 w b W V y a 2 l u Z 2 V u L D U y f S Z x d W 9 0 O y w m c X V v d D t T Z W N 0 a W 9 u M S 9 L R E E v Q X V 0 b 1 J l b W 9 2 Z W R D b 2 x 1 b W 5 z M S 5 7 S W 5 6 Z W 5 k a W 5 n L U l E L D U z f S Z x d W 9 0 O y w m c X V v d D t T Z W N 0 a W 9 u M S 9 L R E E v Q X V 0 b 1 J l b W 9 2 Z W R D b 2 x 1 b W 5 z M S 5 7 S W 5 6 Z W 5 k Z G F 0 d W 0 s N T R 9 J n F 1 b 3 Q 7 L C Z x d W 9 0 O 1 N l Y 3 R p b 2 4 x L 0 t E Q S 9 B d X R v U m V t b 3 Z l Z E N v b H V t b n M x L n t E Y X R l I F V w Z G F 0 Z W Q s N T V 9 J n F 1 b 3 Q 7 L C Z x d W 9 0 O 1 N l Y 3 R p b 2 4 x L 0 t E Q S 9 B d X R v U m V t b 3 Z l Z E N v b H V t b n M x L n t O Y W F t I H Z h b i B o Z X Q g a G 9 v Z m R r b 3 J w c y w 1 N n 0 m c X V v d D s s J n F 1 b 3 Q 7 U 2 V j d G l v b j E v S 0 R B L 0 F 1 d G 9 S Z W 1 v d m V k Q 2 9 s d W 1 u c z E u e 1 p h b C B v c C B 0 c m V k Z W 4 g Y W x z I C h o b 2 9 m Z G t v c n B z K S w 1 N 3 0 m c X V v d D s s J n F 1 b 3 Q 7 U 2 V j d G l v b j E v S 0 R B L 0 F 1 d G 9 S Z W 1 v d m V k Q 2 9 s d W 1 u c z E u e 1 Z v c m 0 g d m F u I H R 3 Z W U g b X V 6 a W V r d 2 V y a 2 V u I C h o b 2 9 m Z G t v c n B z K S w 1 O H 0 m c X V v d D s s J n F 1 b 3 Q 7 U 2 V j d G l v b j E v S 0 R B L 0 F 1 d G 9 S Z W 1 v d m V k Q 2 9 s d W 1 u c z E u e 1 p h b C B 1 a X R r b 2 1 l b i B p b i B k Z T o g K G h v b 2 Z k a 2 9 y c H M p L D U 5 f S Z x d W 9 0 O y w m c X V v d D t T Z W N 0 a W 9 u M S 9 L R E E v Q X V 0 b 1 J l b W 9 2 Z W R D b 2 x 1 b W 5 z M S 5 7 T X V 6 a W V r d 2 V y a z E g K G h v b 2 Z k a 2 9 y c H M p L D Y w f S Z x d W 9 0 O y w m c X V v d D t T Z W N 0 a W 9 u M S 9 L R E E v Q X V 0 b 1 J l b W 9 2 Z W R D b 2 x 1 b W 5 z M S 5 7 T X V 6 a W V r d 2 V y a z I g K G h v b 2 Z k a 2 9 y c H M p L D Y x f S Z x d W 9 0 O y w m c X V v d D t T Z W N 0 a W 9 u M S 9 L R E E v Q X V 0 b 1 J l b W 9 2 Z W R D b 2 x 1 b W 5 z M S 5 7 S 2 9 y c H M g Y m V z d G F h d C B 1 a X Q g L i 4 u I G R l Z W x u Z W 1 l c n M g K G h v b 2 Z k a 2 9 y c H M p L D Y y f S Z x d W 9 0 O y w m c X V v d D t T Z W N 0 a W 9 u M S 9 L R E E v Q X V 0 b 1 J l b W 9 2 Z W R D b 2 x 1 b W 5 z M S 5 7 T m F h b S B 2 Y W 4 g a G V 0 I D J l I G t v c n B z L D Y z f S Z x d W 9 0 O y w m c X V v d D t T Z W N 0 a W 9 u M S 9 L R E E v Q X V 0 b 1 J l b W 9 2 Z W R D b 2 x 1 b W 5 z M S 5 7 W m F s I G 9 w I H R y Z W R l b i B h b H M g K D J l I G t v c n B z K S w 2 N H 0 m c X V v d D s s J n F 1 b 3 Q 7 U 2 V j d G l v b j E v S 0 R B L 0 F 1 d G 9 S Z W 1 v d m V k Q 2 9 s d W 1 u c z E u e 1 Z v c m 0 g d m F u I H R 3 Z W U g b X V 6 a W V r d 2 V y a 2 V u I C g y Z S B r b 3 J w c y k s N j V 9 J n F 1 b 3 Q 7 L C Z x d W 9 0 O 1 N l Y 3 R p b 2 4 x L 0 t E Q S 9 B d X R v U m V t b 3 Z l Z E N v b H V t b n M x L n t a Y W w g d W l 0 a 2 9 t Z W 4 g a W 4 g Z G U 6 I C g y Z S B r b 3 J w c y k s N j Z 9 J n F 1 b 3 Q 7 L C Z x d W 9 0 O 1 N l Y 3 R p b 2 4 x L 0 t E Q S 9 B d X R v U m V t b 3 Z l Z E N v b H V t b n M x L n t N d X p p Z W t 3 Z X J r M S A o M m U g a 2 9 y c H M p L D Y 3 f S Z x d W 9 0 O y w m c X V v d D t T Z W N 0 a W 9 u M S 9 L R E E v Q X V 0 b 1 J l b W 9 2 Z W R D b 2 x 1 b W 5 z M S 5 7 T X V 6 a W V r d 2 V y a z I g K D J l I G t v c n B z K S w 2 O H 0 m c X V v d D s s J n F 1 b 3 Q 7 U 2 V j d G l v b j E v S 0 R B L 0 F 1 d G 9 S Z W 1 v d m V k Q 2 9 s d W 1 u c z E u e 0 t v c n B z I G J l c 3 R h Y X Q g d W l 0 I C 4 u L i B k Z W V s b m V t Z X J z I C g y Z S B r b 3 J w c y k s N j l 9 J n F 1 b 3 Q 7 L C Z x d W 9 0 O 1 N l Y 3 R p b 2 4 x L 0 t E Q S 9 B d X R v U m V t b 3 Z l Z E N v b H V t b n M x L n t N Z W N o Y W 5 p c 2 N o Z S B t d X p p Z W s s N z B 9 J n F 1 b 3 Q 7 L C Z x d W 9 0 O 1 N l Y 3 R p b 2 4 x L 0 t E Q S 9 B d X R v U m V t b 3 Z l Z E N v b H V t b n M x L n t P b m R l c m R l b G V u L D c x f S Z x d W 9 0 O y w m c X V v d D t T Z W N 0 a W 9 u M S 9 L R E E v Q X V 0 b 1 J l b W 9 2 Z W R D b 2 x 1 b W 5 z M S 5 7 U 2 V j d G l l c y w 3 M n 0 m c X V v d D s s J n F 1 b 3 Q 7 U 2 V j d G l v b j E v S 0 R B L 0 F 1 d G 9 S Z W 1 v d m V k Q 2 9 s d W 1 u c z E u e 0 x l Z W Z 0 a W p k c 2 N h d G V n b 3 J p Z S w 3 M 3 0 m c X V v d D s s J n F 1 b 3 Q 7 U 2 V j d G l v b j E v S 0 R B L 0 F 1 d G 9 S Z W 1 v d m V k Q 2 9 s d W 1 u c z E u e 0 F h b n R h b C B v c G d l Z 2 V 2 Z W 4 g b W F q b 3 J l d H R l c y w 3 N H 0 m c X V v d D s s J n F 1 b 3 Q 7 U 2 V j d G l v b j E v S 0 R B L 0 F 1 d G 9 S Z W 1 v d m V k Q 2 9 s d W 1 u c z E u e 0 N v b H V t b j E s N z V 9 J n F 1 b 3 Q 7 X S w m c X V v d D t S Z W x h d G l v b n N o a X B J b m Z v J n F 1 b 3 Q 7 O l t d f S I g L z 4 8 R W 5 0 c n k g V H l w Z T 0 i Q W R k Z W R U b 0 R h d G F N b 2 R l b C I g V m F s d W U 9 I m w w I i A v P j w v U 3 R h Y m x l R W 5 0 c m l l c z 4 8 L 0 l 0 Z W 0 + P E l 0 Z W 0 + P E l 0 Z W 1 M b 2 N h d G l v b j 4 8 S X R l b V R 5 c G U + R m 9 y b X V s Y T w v S X R l b V R 5 c G U + P E l 0 Z W 1 Q Y X R o P l N l Y 3 R p b 2 4 x L 0 t E U n Z O Q j w v S X R l b V B h d G g + P C 9 J d G V t T G 9 j Y X R p b 2 4 + P F N 0 Y W J s Z U V u d H J p Z X M + P E V u d H J 5 I F R 5 c G U 9 I k 5 h d m l n Y X R p b 2 5 T d G V w T m F t Z S I g V m F s d W U 9 I n N O Y X Z p Z 2 F 0 a W U i I C 8 + P E V u d H J 5 I F R 5 c G U 9 I k Z p b G x F b m F i b G V k I i B W Y W x 1 Z T 0 i b D E i I C 8 + P E V u d H J 5 I F R 5 c G U 9 I k Z p b G x l Z E N v b X B s Z X R l U m V z d W x 0 V G 9 X b 3 J r c 2 h l Z X Q i I F Z h b H V l P S J s M S I g L z 4 8 R W 5 0 c n k g V H l w Z T 0 i R m l s b F R v R G F 0 Y U 1 v Z G V s R W 5 h Y m x l Z C I g V m F s d W U 9 I m w w I i A v P j x F b n R y e S B U e X B l P S J J c 1 B y a X Z h d G U i I F Z h b H V l P S J s M C I g L z 4 8 R W 5 0 c n k g V H l w Z T 0 i U X V l c n l J R C I g V m F s d W U 9 I n M 3 O D Y 3 Y z k x M y 1 l Z G N m L T Q 5 M j k t O T h m Y y 1 h M D I w N G V k M z Y 5 Y W U i I C 8 + P E V u d H J 5 I F R 5 c G U 9 I k 5 h b W V V c G R h d G V k Q W Z 0 Z X J G a W x s I i B W Y W x 1 Z T 0 i b D A i I C 8 + P E V u d H J 5 I F R 5 c G U 9 I k J 1 Z m Z l c k 5 l e H R S Z W Z y Z X N o I i B W Y W x 1 Z T 0 i b D E i I C 8 + P E V u d H J 5 I F R 5 c G U 9 I k Z p b G x P Y m p l Y 3 R U e X B l I i B W Y W x 1 Z T 0 i c 1 R h Y m x l I i A v P j x F b n R y e S B U e X B l P S J S Z X N 1 b H R U e X B l I i B W Y W x 1 Z T 0 i c 1 R h Y m x l I i A v P j x F b n R y e S B U e X B l P S J M b 2 F k Z W R U b 0 F u Y W x 5 c 2 l z U 2 V y d m l j Z X M i I F Z h b H V l P S J s M C I g L z 4 8 R W 5 0 c n k g V H l w Z T 0 i U m V j b 3 Z l c n l U Y X J n Z X R S b 3 c i I F Z h b H V l P S J s N i I g L z 4 8 R W 5 0 c n k g V H l w Z T 0 i U m V j b 3 Z l c n l U Y X J n Z X R D b 2 x 1 b W 4 i I F Z h b H V l P S J s M S I g L z 4 8 R W 5 0 c n k g V H l w Z T 0 i U m V j b 3 Z l c n l U Y X J n Z X R T a G V l d C I g V m F s d W U 9 I n N L R F J 2 T k I i I C 8 + P E V u d H J 5 I F R 5 c G U 9 I k Z p b G x U Y X J n Z X Q i I F Z h b H V l P S J z S 0 R S d k 5 C I i A v P j x F b n R y e S B U e X B l P S J M b 2 F k V G 9 S Z X B v c n R E a X N h Y m x l Z C I g V m F s d W U 9 I m w w I i A v P j x F b n R y e S B U e X B l P S J G a W x s T G F z d F V w Z G F 0 Z W Q i I F Z h b H V l P S J k M j A y N S 0 w M S 0 w M V Q x M T o y N z o 0 M C 4 0 N D A w O D c w W i I g L z 4 8 R W 5 0 c n k g V H l w Z T 0 i R m l s b E V y c m 9 y Q 2 9 1 b n Q i I F Z h b H V l P S J s M C I g L z 4 8 R W 5 0 c n k g V H l w Z T 0 i R m l s b E N v b H V t b l R 5 c G V z I i B W Y W x 1 Z T 0 i c 0 J n W U d C Z 1 l H Q m d Z R E F 3 T U R B d 0 1 E Q X d Z R 0 J n T U R B d 0 1 E Q X d Z R 0 F 3 T U R B d 0 1 E Q X d N R E J n W U R C Z 0 1 H Q X d Z R E J n T U R B d 0 1 H Q m d Z R E J 3 Y 0 d C Z 1 l H Q m d Z R E J n W U d C Z 1 l H Q X d Z R 0 J n W U Q i I C 8 + P E V u d H J 5 I F R 5 c G U 9 I k Z p b G x F c n J v c k N v Z G U i I F Z h b H V l P S J z V W 5 r b m 9 3 b i I g L z 4 8 R W 5 0 c n k g V H l w Z T 0 i R m l s b E N v b H V t b k 5 h b W V z I i B W Y W x 1 Z T 0 i c 1 s m c X V v d D t L c m l u Z 2 R h Z y Z x d W 9 0 O y w m c X V v d D t W Z X I u b n I m c X V v d D s s J n F 1 b 3 Q 7 T m F h b S B 2 Z X J l b m l n a W 5 n J n F 1 b 3 Q 7 L C Z x d W 9 0 O 0 R l b G V n Y X R p Z S Z x d W 9 0 O y w m c X V v d D t N d X p p Z W t r b 3 J w c y B i a W o g b W F y c y B l b i B k Z W Z p b F x 1 M D B F O S Z x d W 9 0 O y w m c X V v d D t E Z W V s b i 4 g a m V 1 Z 2 R r b 2 5 p b m d z Y 2 h p Z X R l b i Z x d W 9 0 O y w m c X V v d D t N Y W o u I F N l b m l v c m V u I G p 1 c m V y Z W 4 g Y m l q I G 1 h c n M m c X V v d D s s J n F 1 b 3 Q 7 T W F q L i B K Z X V n Z C B q d X J l c m V u I G J p a i B t Y X J z J n F 1 b 3 Q 7 L C Z x d W 9 0 O 0 t v c n B z I H N l b m l v c m V u J n F 1 b 3 Q 7 L C Z x d W 9 0 O 0 p 1 b m l v c m V u I G t v c n B z I D E m c X V v d D s s J n F 1 b 3 Q 7 S n V u a W 9 y Z W 4 g a 2 9 y c H M g M i Z x d W 9 0 O y w m c X V v d D t B c 3 B p c m F u d G V u I G t v c n B z I D E m c X V v d D s s J n F 1 b 3 Q 7 Q X N w a X J h b n R l b i B r b 3 J w c y A y J n F 1 b 3 Q 7 L C Z x d W 9 0 O 0 F j c m 9 i Y X R p c 2 N o I H N l b m l v c m V u J n F 1 b 3 Q 7 L C Z x d W 9 0 O 0 F j c m 9 i Y X R p c 2 N o I G p 1 b m l v c m V u J n F 1 b 3 Q 7 L C Z x d W 9 0 O 0 F j c m 9 i Y X R p c 2 N o I G F z c G l y Y W 5 0 Z W 4 m c X V v d D s s J n F 1 b 3 Q 7 U 2 h v d y B z Z W 5 p b 3 J l b i Z x d W 9 0 O y w m c X V v d D t T a G 9 3 I G p 1 b m l v c m V u J n F 1 b 3 Q 7 L C Z x d W 9 0 O 1 N o b 3 c g Y X N w a X J h b n R l b i Z x d W 9 0 O y w m c X V v d D t T Z W 5 p b 3 J l b i B p b m R p d i 4 m c X V v d D s s J n F 1 b 3 Q 7 S n V u a W 9 y Z W 4 g a W 5 k a X Y u J n F 1 b 3 Q 7 L C Z x d W 9 0 O 0 F z c G l y Y W 5 0 Z W 4 g a W 5 k a X Y u J n F 1 b 3 Q 7 L C Z x d W 9 0 O 1 N l b i 4 g a W 5 k I G 9 w Z 2 V n Z X Z l b i B u Y W 1 l b i Z x d W 9 0 O y w m c X V v d D t K d W 4 u I G l u Z C B v c G d l Z 2 V 2 Z W 4 g b m F t Z W 4 m c X V v d D s s J n F 1 b 3 Q 7 Q X N w L i B p b m Q g b 3 B n Z W d l d m V u I G 5 h b W V u J n F 1 b 3 Q 7 L C Z x d W 9 0 O 0 h v b 2 Z k a 2 9 y c H M m c X V v d D s s J n F 1 b 3 Q 7 M m U g a 2 9 y c H M m c X V v d D s s J n F 1 b 3 Q 7 R 3 J v Z X B l b i w g d G V h b X M s I G V u c 2 V t Y m x l c y B l b i B k d W 9 c d T A w M j d z J n F 1 b 3 Q 7 L C Z x d W 9 0 O 1 N l b m l v c m V u J n F 1 b 3 Q 7 L C Z x d W 9 0 O 0 p v b m c g d m 9 s d 2 F z c 2 V u Z S Z x d W 9 0 O y w m c X V v d D t K d W 5 p b 3 J l b i Z x d W 9 0 O y w m c X V v d D t B c 3 B p c m F u d G V u J n F 1 b 3 Q 7 L C Z x d W 9 0 O 0 9 w Z 2 V n Z X Z l b i B z Z W 5 p b 3 J l b i Z x d W 9 0 O y w m c X V v d D t P c G d l Z 2 V 2 Z W 4 g a m 9 u Z y B 2 b 2 x 3 Y X N z Z W 5 l J n F 1 b 3 Q 7 L C Z x d W 9 0 O 0 9 w Z 2 V n Z X Z l b i B q d W 5 p b 3 J l b i Z x d W 9 0 O y w m c X V v d D t P c G d l Z 2 V 2 Z W 4 g Y X N w a X J h b n R l b i Z x d W 9 0 O y w m c X V v d D t N Y X J r Z X R l b n R z d G V y c y Z x d W 9 0 O y w m c X V v d D t M d W N o d G d l d 2 V l c i Z x d W 9 0 O y w m c X V v d D t B Y W 5 0 Y W w g b H V j a H R n Z X d l Z X J z Y 2 h 1 d H R l c n M m c X V v d D s s J n F 1 b 3 Q 7 T H V j a H R w a X N 0 b 2 9 s J n F 1 b 3 Q 7 L C Z x d W 9 0 O 0 F h b n R h b C B s d W N o d H B p c 3 R v b 2 x z Y 2 h 1 d H R l c n M m c X V v d D s s J n F 1 b 3 Q 7 S G F u Z G J v b 2 c m c X V v d D s s J n F 1 b 3 Q 7 Q W F u d G F s I G h h b m R i b 2 9 n c 2 N o d X R 0 Z X J z J n F 1 b 3 Q 7 L C Z x d W 9 0 O 0 t y d W l z Y m 9 v Z y Z x d W 9 0 O y w m c X V v d D t B Y W 5 0 Y W w g a 3 J 1 a X N i b 2 9 n c 2 N o d X R 0 Z X J z J n F 1 b 3 Q 7 L C Z x d W 9 0 O 0 x 1 Y 2 h 0 Z 2 V 3 Z W V y I G p l d W d k I G 5 p Z X Q g b 3 V k Z X I g Z G F u I D E 3 I G p h Y X I u J n F 1 b 3 Q 7 L C Z x d W 9 0 O 0 F h b n R h b C B r b 3 J w c 2 V u J n F 1 b 3 Q 7 L C Z x d W 9 0 O 0 9 w Z 2 V n Z X Z l b i B q Z X V n Z G t v c n B z Z W 4 g T E c m c X V v d D s s J n F 1 b 3 Q 7 V G 9 0 Y W F s I G F h b n R h b C B k Z W V s b m V t Z X J z J n F 1 b 3 Q 7 L C Z x d W 9 0 O 1 d h Y X J 2 Y W 4 g Y W F u d G F s I G p l d W d k I C h 0 L 2 0 g M T U g a m F h c i k m c X V v d D s s J n F 1 b 3 Q 7 S 2 F u b 2 4 g Z X R j L i Z x d W 9 0 O y w m c X V v d D t Q Y W F y Z G V u I G V u L 2 9 m I G t v Z X R z Z W 4 m c X V v d D s s J n F 1 b 3 Q 7 V G 9 l b G l j a H R p b m c v b 3 B t Z X J r a W 5 n Z W 4 m c X V v d D s s J n F 1 b 3 Q 7 S W 5 6 Z W 5 k a W 5 n L U l E J n F 1 b 3 Q 7 L C Z x d W 9 0 O 0 l u e m V u Z G R h d H V t J n F 1 b 3 Q 7 L C Z x d W 9 0 O 0 R h d G U g V X B k Y X R l Z C Z x d W 9 0 O y w m c X V v d D t O Y W F t I H Z h b i B o Z X Q g a G 9 v Z m R r b 3 J w c y Z x d W 9 0 O y w m c X V v d D t a Y W w g b 3 A g d H J l Z G V u I G F s c y A o a G 9 v Z m R r b 3 J w c y k m c X V v d D s s J n F 1 b 3 Q 7 V m 9 y b S B 2 Y W 4 g d H d l Z S B t d X p p Z W t 3 Z X J r Z W 4 g K G h v b 2 Z k a 2 9 y c H M p J n F 1 b 3 Q 7 L C Z x d W 9 0 O 1 p h b C B 1 a X R r b 2 1 l b i B p b i B k Z T o g K G h v b 2 Z k a 2 9 y c H M p J n F 1 b 3 Q 7 L C Z x d W 9 0 O 0 1 1 e m l l a 3 d l c m s x I C h o b 2 9 m Z G t v c n B z K S Z x d W 9 0 O y w m c X V v d D t N d X p p Z W t 3 Z X J r M i A o a G 9 v Z m R r b 3 J w c y k m c X V v d D s s J n F 1 b 3 Q 7 S 2 9 y c H M g Y m V z d G F h d C B 1 a X Q g L i 4 u I G R l Z W x u Z W 1 l c n M g K G h v b 2 Z k a 2 9 y c H M p J n F 1 b 3 Q 7 L C Z x d W 9 0 O 0 5 h Y W 0 g d m F u I G h l d C A y Z S B r b 3 J w c y Z x d W 9 0 O y w m c X V v d D t a Y W w g b 3 A g d H J l Z G V u I G F s c y A o M m U g a 2 9 y c H M p J n F 1 b 3 Q 7 L C Z x d W 9 0 O 1 Z v c m 0 g d m F u I H R 3 Z W U g b X V 6 a W V r d 2 V y a 2 V u I C g y Z S B r b 3 J w c y k m c X V v d D s s J n F 1 b 3 Q 7 W m F s I H V p d G t v b W V u I G l u I G R l O i A o M m U g a 2 9 y c H M p J n F 1 b 3 Q 7 L C Z x d W 9 0 O 0 1 1 e m l l a 3 d l c m s x I C g y Z S B r b 3 J w c y k m c X V v d D s s J n F 1 b 3 Q 7 T X V 6 a W V r d 2 V y a z I g K D J l I G t v c n B z K S Z x d W 9 0 O y w m c X V v d D t L b 3 J w c y B i Z X N 0 Y W F 0 I H V p d C A u L i 4 g Z G V l b G 5 l b W V y c y A o M m U g a 2 9 y c H M p J n F 1 b 3 Q 7 L C Z x d W 9 0 O 0 1 l Y 2 h h b m l z Y 2 h l I G 1 1 e m l l a y Z x d W 9 0 O y w m c X V v d D t P b m R l c m R l b G V u J n F 1 b 3 Q 7 L C Z x d W 9 0 O 1 N l Y 3 R p Z X M m c X V v d D s s J n F 1 b 3 Q 7 T G V l Z n R p a m R z Y 2 F 0 Z W d v c m l l J n F 1 b 3 Q 7 L C Z x d W 9 0 O 0 F h b n R h b C B v c G d l Z 2 V 2 Z W 4 g b W F q b 3 J l d H R l c y Z x d W 9 0 O 1 0 i I C 8 + P E V u d H J 5 I F R 5 c G U 9 I k Z p b G x D b 3 V u d C I g V m F s d W U 9 I m w x N C I g L z 4 8 R W 5 0 c n k g V H l w Z T 0 i R m l s b F N 0 Y X R 1 c y I g V m F s d W U 9 I n N D b 2 1 w b G V 0 Z S I g L z 4 8 R W 5 0 c n k g V H l w Z T 0 i Q W R k Z W R U b 0 R h d G F N b 2 R l b C I g V m F s d W U 9 I m w w I i A v P j x F b n R y e S B U e X B l P S J S Z W x h d G l v b n N o a X B J b m Z v Q 2 9 u d G F p b m V y I i B W Y W x 1 Z T 0 i c 3 s m c X V v d D t j b 2 x 1 b W 5 D b 3 V u d C Z x d W 9 0 O z o 3 N S w m c X V v d D t r Z X l D b 2 x 1 b W 5 O Y W 1 l c y Z x d W 9 0 O z p b X S w m c X V v d D t x d W V y e V J l b G F 0 a W 9 u c 2 h p c H M m c X V v d D s 6 W 1 0 s J n F 1 b 3 Q 7 Y 2 9 s d W 1 u S W R l b n R p d G l l c y Z x d W 9 0 O z p b J n F 1 b 3 Q 7 U 2 V j d G l v b j E v S 0 R S d k 5 C L 0 F 1 d G 9 S Z W 1 v d m V k Q 2 9 s d W 1 u c z E u e 0 t y a W 5 n Z G F n L D B 9 J n F 1 b 3 Q 7 L C Z x d W 9 0 O 1 N l Y 3 R p b 2 4 x L 0 t E U n Z O Q i 9 B d X R v U m V t b 3 Z l Z E N v b H V t b n M x L n t W Z X I u b n I s M X 0 m c X V v d D s s J n F 1 b 3 Q 7 U 2 V j d G l v b j E v S 0 R S d k 5 C L 0 F 1 d G 9 S Z W 1 v d m V k Q 2 9 s d W 1 u c z E u e 0 5 h Y W 0 g d m V y Z W 5 p Z 2 l u Z y w y f S Z x d W 9 0 O y w m c X V v d D t T Z W N 0 a W 9 u M S 9 L R F J 2 T k I v Q X V 0 b 1 J l b W 9 2 Z W R D b 2 x 1 b W 5 z M S 5 7 R G V s Z W d h d G l l L D N 9 J n F 1 b 3 Q 7 L C Z x d W 9 0 O 1 N l Y 3 R p b 2 4 x L 0 t E U n Z O Q i 9 B d X R v U m V t b 3 Z l Z E N v b H V t b n M x L n t N d X p p Z W t r b 3 J w c y B i a W o g b W F y c y B l b i B k Z W Z p b F x 1 M D B F O S w 0 f S Z x d W 9 0 O y w m c X V v d D t T Z W N 0 a W 9 u M S 9 L R F J 2 T k I v Q X V 0 b 1 J l b W 9 2 Z W R D b 2 x 1 b W 5 z M S 5 7 R G V l b G 4 u I G p l d W d k a 2 9 u a W 5 n c 2 N o a W V 0 Z W 4 s N X 0 m c X V v d D s s J n F 1 b 3 Q 7 U 2 V j d G l v b j E v S 0 R S d k 5 C L 0 F 1 d G 9 S Z W 1 v d m V k Q 2 9 s d W 1 u c z E u e 0 1 h a i 4 g U 2 V u a W 9 y Z W 4 g a n V y Z X J l b i B i a W o g b W F y c y w 2 f S Z x d W 9 0 O y w m c X V v d D t T Z W N 0 a W 9 u M S 9 L R F J 2 T k I v Q X V 0 b 1 J l b W 9 2 Z W R D b 2 x 1 b W 5 z M S 5 7 T W F q L i B K Z X V n Z C B q d X J l c m V u I G J p a i B t Y X J z L D d 9 J n F 1 b 3 Q 7 L C Z x d W 9 0 O 1 N l Y 3 R p b 2 4 x L 0 t E U n Z O Q i 9 B d X R v U m V t b 3 Z l Z E N v b H V t b n M x L n t L b 3 J w c y B z Z W 5 p b 3 J l b i w 4 f S Z x d W 9 0 O y w m c X V v d D t T Z W N 0 a W 9 u M S 9 L R F J 2 T k I v Q X V 0 b 1 J l b W 9 2 Z W R D b 2 x 1 b W 5 z M S 5 7 S n V u a W 9 y Z W 4 g a 2 9 y c H M g M S w 5 f S Z x d W 9 0 O y w m c X V v d D t T Z W N 0 a W 9 u M S 9 L R F J 2 T k I v Q X V 0 b 1 J l b W 9 2 Z W R D b 2 x 1 b W 5 z M S 5 7 S n V u a W 9 y Z W 4 g a 2 9 y c H M g M i w x M H 0 m c X V v d D s s J n F 1 b 3 Q 7 U 2 V j d G l v b j E v S 0 R S d k 5 C L 0 F 1 d G 9 S Z W 1 v d m V k Q 2 9 s d W 1 u c z E u e 0 F z c G l y Y W 5 0 Z W 4 g a 2 9 y c H M g M S w x M X 0 m c X V v d D s s J n F 1 b 3 Q 7 U 2 V j d G l v b j E v S 0 R S d k 5 C L 0 F 1 d G 9 S Z W 1 v d m V k Q 2 9 s d W 1 u c z E u e 0 F z c G l y Y W 5 0 Z W 4 g a 2 9 y c H M g M i w x M n 0 m c X V v d D s s J n F 1 b 3 Q 7 U 2 V j d G l v b j E v S 0 R S d k 5 C L 0 F 1 d G 9 S Z W 1 v d m V k Q 2 9 s d W 1 u c z E u e 0 F j c m 9 i Y X R p c 2 N o I H N l b m l v c m V u L D E z f S Z x d W 9 0 O y w m c X V v d D t T Z W N 0 a W 9 u M S 9 L R F J 2 T k I v Q X V 0 b 1 J l b W 9 2 Z W R D b 2 x 1 b W 5 z M S 5 7 Q W N y b 2 J h d G l z Y 2 g g a n V u a W 9 y Z W 4 s M T R 9 J n F 1 b 3 Q 7 L C Z x d W 9 0 O 1 N l Y 3 R p b 2 4 x L 0 t E U n Z O Q i 9 B d X R v U m V t b 3 Z l Z E N v b H V t b n M x L n t B Y 3 J v Y m F 0 a X N j a C B h c 3 B p c m F u d G V u L D E 1 f S Z x d W 9 0 O y w m c X V v d D t T Z W N 0 a W 9 u M S 9 L R F J 2 T k I v Q X V 0 b 1 J l b W 9 2 Z W R D b 2 x 1 b W 5 z M S 5 7 U 2 h v d y B z Z W 5 p b 3 J l b i w x N n 0 m c X V v d D s s J n F 1 b 3 Q 7 U 2 V j d G l v b j E v S 0 R S d k 5 C L 0 F 1 d G 9 S Z W 1 v d m V k Q 2 9 s d W 1 u c z E u e 1 N o b 3 c g a n V u a W 9 y Z W 4 s M T d 9 J n F 1 b 3 Q 7 L C Z x d W 9 0 O 1 N l Y 3 R p b 2 4 x L 0 t E U n Z O Q i 9 B d X R v U m V t b 3 Z l Z E N v b H V t b n M x L n t T a G 9 3 I G F z c G l y Y W 5 0 Z W 4 s M T h 9 J n F 1 b 3 Q 7 L C Z x d W 9 0 O 1 N l Y 3 R p b 2 4 x L 0 t E U n Z O Q i 9 B d X R v U m V t b 3 Z l Z E N v b H V t b n M x L n t T Z W 5 p b 3 J l b i B p b m R p d i 4 s M T l 9 J n F 1 b 3 Q 7 L C Z x d W 9 0 O 1 N l Y 3 R p b 2 4 x L 0 t E U n Z O Q i 9 B d X R v U m V t b 3 Z l Z E N v b H V t b n M x L n t K d W 5 p b 3 J l b i B p b m R p d i 4 s M j B 9 J n F 1 b 3 Q 7 L C Z x d W 9 0 O 1 N l Y 3 R p b 2 4 x L 0 t E U n Z O Q i 9 B d X R v U m V t b 3 Z l Z E N v b H V t b n M x L n t B c 3 B p c m F u d G V u I G l u Z G l 2 L i w y M X 0 m c X V v d D s s J n F 1 b 3 Q 7 U 2 V j d G l v b j E v S 0 R S d k 5 C L 0 F 1 d G 9 S Z W 1 v d m V k Q 2 9 s d W 1 u c z E u e 1 N l b i 4 g a W 5 k I G 9 w Z 2 V n Z X Z l b i B u Y W 1 l b i w y M n 0 m c X V v d D s s J n F 1 b 3 Q 7 U 2 V j d G l v b j E v S 0 R S d k 5 C L 0 F 1 d G 9 S Z W 1 v d m V k Q 2 9 s d W 1 u c z E u e 0 p 1 b i 4 g a W 5 k I G 9 w Z 2 V n Z X Z l b i B u Y W 1 l b i w y M 3 0 m c X V v d D s s J n F 1 b 3 Q 7 U 2 V j d G l v b j E v S 0 R S d k 5 C L 0 F 1 d G 9 S Z W 1 v d m V k Q 2 9 s d W 1 u c z E u e 0 F z c C 4 g a W 5 k I G 9 w Z 2 V n Z X Z l b i B u Y W 1 l b i w y N H 0 m c X V v d D s s J n F 1 b 3 Q 7 U 2 V j d G l v b j E v S 0 R S d k 5 C L 0 F 1 d G 9 S Z W 1 v d m V k Q 2 9 s d W 1 u c z E u e 0 h v b 2 Z k a 2 9 y c H M s M j V 9 J n F 1 b 3 Q 7 L C Z x d W 9 0 O 1 N l Y 3 R p b 2 4 x L 0 t E U n Z O Q i 9 B d X R v U m V t b 3 Z l Z E N v b H V t b n M x L n s y Z S B r b 3 J w c y w y N n 0 m c X V v d D s s J n F 1 b 3 Q 7 U 2 V j d G l v b j E v S 0 R S d k 5 C L 0 F 1 d G 9 S Z W 1 v d m V k Q 2 9 s d W 1 u c z E u e 0 d y b 2 V w Z W 4 s I H R l Y W 1 z L C B l b n N l b W J s Z X M g Z W 4 g Z H V v X H U w M D I 3 c y w y N 3 0 m c X V v d D s s J n F 1 b 3 Q 7 U 2 V j d G l v b j E v S 0 R S d k 5 C L 0 F 1 d G 9 S Z W 1 v d m V k Q 2 9 s d W 1 u c z E u e 1 N l b m l v c m V u L D I 4 f S Z x d W 9 0 O y w m c X V v d D t T Z W N 0 a W 9 u M S 9 L R F J 2 T k I v Q X V 0 b 1 J l b W 9 2 Z W R D b 2 x 1 b W 5 z M S 5 7 S m 9 u Z y B 2 b 2 x 3 Y X N z Z W 5 l L D I 5 f S Z x d W 9 0 O y w m c X V v d D t T Z W N 0 a W 9 u M S 9 L R F J 2 T k I v Q X V 0 b 1 J l b W 9 2 Z W R D b 2 x 1 b W 5 z M S 5 7 S n V u a W 9 y Z W 4 s M z B 9 J n F 1 b 3 Q 7 L C Z x d W 9 0 O 1 N l Y 3 R p b 2 4 x L 0 t E U n Z O Q i 9 B d X R v U m V t b 3 Z l Z E N v b H V t b n M x L n t B c 3 B p c m F u d G V u L D M x f S Z x d W 9 0 O y w m c X V v d D t T Z W N 0 a W 9 u M S 9 L R F J 2 T k I v Q X V 0 b 1 J l b W 9 2 Z W R D b 2 x 1 b W 5 z M S 5 7 T 3 B n Z W d l d m V u I H N l b m l v c m V u L D M y f S Z x d W 9 0 O y w m c X V v d D t T Z W N 0 a W 9 u M S 9 L R F J 2 T k I v Q X V 0 b 1 J l b W 9 2 Z W R D b 2 x 1 b W 5 z M S 5 7 T 3 B n Z W d l d m V u I G p v b m c g d m 9 s d 2 F z c 2 V u Z S w z M 3 0 m c X V v d D s s J n F 1 b 3 Q 7 U 2 V j d G l v b j E v S 0 R S d k 5 C L 0 F 1 d G 9 S Z W 1 v d m V k Q 2 9 s d W 1 u c z E u e 0 9 w Z 2 V n Z X Z l b i B q d W 5 p b 3 J l b i w z N H 0 m c X V v d D s s J n F 1 b 3 Q 7 U 2 V j d G l v b j E v S 0 R S d k 5 C L 0 F 1 d G 9 S Z W 1 v d m V k Q 2 9 s d W 1 u c z E u e 0 9 w Z 2 V n Z X Z l b i B h c 3 B p c m F u d G V u L D M 1 f S Z x d W 9 0 O y w m c X V v d D t T Z W N 0 a W 9 u M S 9 L R F J 2 T k I v Q X V 0 b 1 J l b W 9 2 Z W R D b 2 x 1 b W 5 z M S 5 7 T W F y a 2 V 0 Z W 5 0 c 3 R l c n M s M z Z 9 J n F 1 b 3 Q 7 L C Z x d W 9 0 O 1 N l Y 3 R p b 2 4 x L 0 t E U n Z O Q i 9 B d X R v U m V t b 3 Z l Z E N v b H V t b n M x L n t M d W N o d G d l d 2 V l c i w z N 3 0 m c X V v d D s s J n F 1 b 3 Q 7 U 2 V j d G l v b j E v S 0 R S d k 5 C L 0 F 1 d G 9 S Z W 1 v d m V k Q 2 9 s d W 1 u c z E u e 0 F h b n R h b C B s d W N o d G d l d 2 V l c n N j a H V 0 d G V y c y w z O H 0 m c X V v d D s s J n F 1 b 3 Q 7 U 2 V j d G l v b j E v S 0 R S d k 5 C L 0 F 1 d G 9 S Z W 1 v d m V k Q 2 9 s d W 1 u c z E u e 0 x 1 Y 2 h 0 c G l z d G 9 v b C w z O X 0 m c X V v d D s s J n F 1 b 3 Q 7 U 2 V j d G l v b j E v S 0 R S d k 5 C L 0 F 1 d G 9 S Z W 1 v d m V k Q 2 9 s d W 1 u c z E u e 0 F h b n R h b C B s d W N o d H B p c 3 R v b 2 x z Y 2 h 1 d H R l c n M s N D B 9 J n F 1 b 3 Q 7 L C Z x d W 9 0 O 1 N l Y 3 R p b 2 4 x L 0 t E U n Z O Q i 9 B d X R v U m V t b 3 Z l Z E N v b H V t b n M x L n t I Y W 5 k Y m 9 v Z y w 0 M X 0 m c X V v d D s s J n F 1 b 3 Q 7 U 2 V j d G l v b j E v S 0 R S d k 5 C L 0 F 1 d G 9 S Z W 1 v d m V k Q 2 9 s d W 1 u c z E u e 0 F h b n R h b C B o Y W 5 k Y m 9 v Z 3 N j a H V 0 d G V y c y w 0 M n 0 m c X V v d D s s J n F 1 b 3 Q 7 U 2 V j d G l v b j E v S 0 R S d k 5 C L 0 F 1 d G 9 S Z W 1 v d m V k Q 2 9 s d W 1 u c z E u e 0 t y d W l z Y m 9 v Z y w 0 M 3 0 m c X V v d D s s J n F 1 b 3 Q 7 U 2 V j d G l v b j E v S 0 R S d k 5 C L 0 F 1 d G 9 S Z W 1 v d m V k Q 2 9 s d W 1 u c z E u e 0 F h b n R h b C B r c n V p c 2 J v b 2 d z Y 2 h 1 d H R l c n M s N D R 9 J n F 1 b 3 Q 7 L C Z x d W 9 0 O 1 N l Y 3 R p b 2 4 x L 0 t E U n Z O Q i 9 B d X R v U m V t b 3 Z l Z E N v b H V t b n M x L n t M d W N o d G d l d 2 V l c i B q Z X V n Z C B u a W V 0 I G 9 1 Z G V y I G R h b i A x N y B q Y W F y L i w 0 N X 0 m c X V v d D s s J n F 1 b 3 Q 7 U 2 V j d G l v b j E v S 0 R S d k 5 C L 0 F 1 d G 9 S Z W 1 v d m V k Q 2 9 s d W 1 u c z E u e 0 F h b n R h b C B r b 3 J w c 2 V u L D Q 2 f S Z x d W 9 0 O y w m c X V v d D t T Z W N 0 a W 9 u M S 9 L R F J 2 T k I v Q X V 0 b 1 J l b W 9 2 Z W R D b 2 x 1 b W 5 z M S 5 7 T 3 B n Z W d l d m V u I G p l d W d k a 2 9 y c H N l b i B M R y w 0 N 3 0 m c X V v d D s s J n F 1 b 3 Q 7 U 2 V j d G l v b j E v S 0 R S d k 5 C L 0 F 1 d G 9 S Z W 1 v d m V k Q 2 9 s d W 1 u c z E u e 1 R v d G F h b C B h Y W 5 0 Y W w g Z G V l b G 5 l b W V y c y w 0 O H 0 m c X V v d D s s J n F 1 b 3 Q 7 U 2 V j d G l v b j E v S 0 R S d k 5 C L 0 F 1 d G 9 S Z W 1 v d m V k Q 2 9 s d W 1 u c z E u e 1 d h Y X J 2 Y W 4 g Y W F u d G F s I G p l d W d k I C h 0 L 2 0 g M T U g a m F h c i k s N D l 9 J n F 1 b 3 Q 7 L C Z x d W 9 0 O 1 N l Y 3 R p b 2 4 x L 0 t E U n Z O Q i 9 B d X R v U m V t b 3 Z l Z E N v b H V t b n M x L n t L Y W 5 v b i B l d G M u L D U w f S Z x d W 9 0 O y w m c X V v d D t T Z W N 0 a W 9 u M S 9 L R F J 2 T k I v Q X V 0 b 1 J l b W 9 2 Z W R D b 2 x 1 b W 5 z M S 5 7 U G F h c m R l b i B l b i 9 v Z i B r b 2 V 0 c 2 V u L D U x f S Z x d W 9 0 O y w m c X V v d D t T Z W N 0 a W 9 u M S 9 L R F J 2 T k I v Q X V 0 b 1 J l b W 9 2 Z W R D b 2 x 1 b W 5 z M S 5 7 V G 9 l b G l j a H R p b m c v b 3 B t Z X J r a W 5 n Z W 4 s N T J 9 J n F 1 b 3 Q 7 L C Z x d W 9 0 O 1 N l Y 3 R p b 2 4 x L 0 t E U n Z O Q i 9 B d X R v U m V t b 3 Z l Z E N v b H V t b n M x L n t J b n p l b m R p b m c t S U Q s N T N 9 J n F 1 b 3 Q 7 L C Z x d W 9 0 O 1 N l Y 3 R p b 2 4 x L 0 t E U n Z O Q i 9 B d X R v U m V t b 3 Z l Z E N v b H V t b n M x L n t J b n p l b m R k Y X R 1 b S w 1 N H 0 m c X V v d D s s J n F 1 b 3 Q 7 U 2 V j d G l v b j E v S 0 R S d k 5 C L 0 F 1 d G 9 S Z W 1 v d m V k Q 2 9 s d W 1 u c z E u e 0 R h d G U g V X B k Y X R l Z C w 1 N X 0 m c X V v d D s s J n F 1 b 3 Q 7 U 2 V j d G l v b j E v S 0 R S d k 5 C L 0 F 1 d G 9 S Z W 1 v d m V k Q 2 9 s d W 1 u c z E u e 0 5 h Y W 0 g d m F u I G h l d C B o b 2 9 m Z G t v c n B z L D U 2 f S Z x d W 9 0 O y w m c X V v d D t T Z W N 0 a W 9 u M S 9 L R F J 2 T k I v Q X V 0 b 1 J l b W 9 2 Z W R D b 2 x 1 b W 5 z M S 5 7 W m F s I G 9 w I H R y Z W R l b i B h b H M g K G h v b 2 Z k a 2 9 y c H M p L D U 3 f S Z x d W 9 0 O y w m c X V v d D t T Z W N 0 a W 9 u M S 9 L R F J 2 T k I v Q X V 0 b 1 J l b W 9 2 Z W R D b 2 x 1 b W 5 z M S 5 7 V m 9 y b S B 2 Y W 4 g d H d l Z S B t d X p p Z W t 3 Z X J r Z W 4 g K G h v b 2 Z k a 2 9 y c H M p L D U 4 f S Z x d W 9 0 O y w m c X V v d D t T Z W N 0 a W 9 u M S 9 L R F J 2 T k I v Q X V 0 b 1 J l b W 9 2 Z W R D b 2 x 1 b W 5 z M S 5 7 W m F s I H V p d G t v b W V u I G l u I G R l O i A o a G 9 v Z m R r b 3 J w c y k s N T l 9 J n F 1 b 3 Q 7 L C Z x d W 9 0 O 1 N l Y 3 R p b 2 4 x L 0 t E U n Z O Q i 9 B d X R v U m V t b 3 Z l Z E N v b H V t b n M x L n t N d X p p Z W t 3 Z X J r M S A o a G 9 v Z m R r b 3 J w c y k s N j B 9 J n F 1 b 3 Q 7 L C Z x d W 9 0 O 1 N l Y 3 R p b 2 4 x L 0 t E U n Z O Q i 9 B d X R v U m V t b 3 Z l Z E N v b H V t b n M x L n t N d X p p Z W t 3 Z X J r M i A o a G 9 v Z m R r b 3 J w c y k s N j F 9 J n F 1 b 3 Q 7 L C Z x d W 9 0 O 1 N l Y 3 R p b 2 4 x L 0 t E U n Z O Q i 9 B d X R v U m V t b 3 Z l Z E N v b H V t b n M x L n t L b 3 J w c y B i Z X N 0 Y W F 0 I H V p d C A u L i 4 g Z G V l b G 5 l b W V y c y A o a G 9 v Z m R r b 3 J w c y k s N j J 9 J n F 1 b 3 Q 7 L C Z x d W 9 0 O 1 N l Y 3 R p b 2 4 x L 0 t E U n Z O Q i 9 B d X R v U m V t b 3 Z l Z E N v b H V t b n M x L n t O Y W F t I H Z h b i B o Z X Q g M m U g a 2 9 y c H M s N j N 9 J n F 1 b 3 Q 7 L C Z x d W 9 0 O 1 N l Y 3 R p b 2 4 x L 0 t E U n Z O Q i 9 B d X R v U m V t b 3 Z l Z E N v b H V t b n M x L n t a Y W w g b 3 A g d H J l Z G V u I G F s c y A o M m U g a 2 9 y c H M p L D Y 0 f S Z x d W 9 0 O y w m c X V v d D t T Z W N 0 a W 9 u M S 9 L R F J 2 T k I v Q X V 0 b 1 J l b W 9 2 Z W R D b 2 x 1 b W 5 z M S 5 7 V m 9 y b S B 2 Y W 4 g d H d l Z S B t d X p p Z W t 3 Z X J r Z W 4 g K D J l I G t v c n B z K S w 2 N X 0 m c X V v d D s s J n F 1 b 3 Q 7 U 2 V j d G l v b j E v S 0 R S d k 5 C L 0 F 1 d G 9 S Z W 1 v d m V k Q 2 9 s d W 1 u c z E u e 1 p h b C B 1 a X R r b 2 1 l b i B p b i B k Z T o g K D J l I G t v c n B z K S w 2 N n 0 m c X V v d D s s J n F 1 b 3 Q 7 U 2 V j d G l v b j E v S 0 R S d k 5 C L 0 F 1 d G 9 S Z W 1 v d m V k Q 2 9 s d W 1 u c z E u e 0 1 1 e m l l a 3 d l c m s x I C g y Z S B r b 3 J w c y k s N j d 9 J n F 1 b 3 Q 7 L C Z x d W 9 0 O 1 N l Y 3 R p b 2 4 x L 0 t E U n Z O Q i 9 B d X R v U m V t b 3 Z l Z E N v b H V t b n M x L n t N d X p p Z W t 3 Z X J r M i A o M m U g a 2 9 y c H M p L D Y 4 f S Z x d W 9 0 O y w m c X V v d D t T Z W N 0 a W 9 u M S 9 L R F J 2 T k I v Q X V 0 b 1 J l b W 9 2 Z W R D b 2 x 1 b W 5 z M S 5 7 S 2 9 y c H M g Y m V z d G F h d C B 1 a X Q g L i 4 u I G R l Z W x u Z W 1 l c n M g K D J l I G t v c n B z K S w 2 O X 0 m c X V v d D s s J n F 1 b 3 Q 7 U 2 V j d G l v b j E v S 0 R S d k 5 C L 0 F 1 d G 9 S Z W 1 v d m V k Q 2 9 s d W 1 u c z E u e 0 1 l Y 2 h h b m l z Y 2 h l I G 1 1 e m l l a y w 3 M H 0 m c X V v d D s s J n F 1 b 3 Q 7 U 2 V j d G l v b j E v S 0 R S d k 5 C L 0 F 1 d G 9 S Z W 1 v d m V k Q 2 9 s d W 1 u c z E u e 0 9 u Z G V y Z G V s Z W 4 s N z F 9 J n F 1 b 3 Q 7 L C Z x d W 9 0 O 1 N l Y 3 R p b 2 4 x L 0 t E U n Z O Q i 9 B d X R v U m V t b 3 Z l Z E N v b H V t b n M x L n t T Z W N 0 a W V z L D c y f S Z x d W 9 0 O y w m c X V v d D t T Z W N 0 a W 9 u M S 9 L R F J 2 T k I v Q X V 0 b 1 J l b W 9 2 Z W R D b 2 x 1 b W 5 z M S 5 7 T G V l Z n R p a m R z Y 2 F 0 Z W d v c m l l L D c z f S Z x d W 9 0 O y w m c X V v d D t T Z W N 0 a W 9 u M S 9 L R F J 2 T k I v Q X V 0 b 1 J l b W 9 2 Z W R D b 2 x 1 b W 5 z M S 5 7 Q W F u d G F s I G 9 w Z 2 V n Z X Z l b i B t Y W p v c m V 0 d G V z L D c 0 f S Z x d W 9 0 O 1 0 s J n F 1 b 3 Q 7 Q 2 9 s d W 1 u Q 2 9 1 b n Q m c X V v d D s 6 N z U s J n F 1 b 3 Q 7 S 2 V 5 Q 2 9 s d W 1 u T m F t Z X M m c X V v d D s 6 W 1 0 s J n F 1 b 3 Q 7 Q 2 9 s d W 1 u S W R l b n R p d G l l c y Z x d W 9 0 O z p b J n F 1 b 3 Q 7 U 2 V j d G l v b j E v S 0 R S d k 5 C L 0 F 1 d G 9 S Z W 1 v d m V k Q 2 9 s d W 1 u c z E u e 0 t y a W 5 n Z G F n L D B 9 J n F 1 b 3 Q 7 L C Z x d W 9 0 O 1 N l Y 3 R p b 2 4 x L 0 t E U n Z O Q i 9 B d X R v U m V t b 3 Z l Z E N v b H V t b n M x L n t W Z X I u b n I s M X 0 m c X V v d D s s J n F 1 b 3 Q 7 U 2 V j d G l v b j E v S 0 R S d k 5 C L 0 F 1 d G 9 S Z W 1 v d m V k Q 2 9 s d W 1 u c z E u e 0 5 h Y W 0 g d m V y Z W 5 p Z 2 l u Z y w y f S Z x d W 9 0 O y w m c X V v d D t T Z W N 0 a W 9 u M S 9 L R F J 2 T k I v Q X V 0 b 1 J l b W 9 2 Z W R D b 2 x 1 b W 5 z M S 5 7 R G V s Z W d h d G l l L D N 9 J n F 1 b 3 Q 7 L C Z x d W 9 0 O 1 N l Y 3 R p b 2 4 x L 0 t E U n Z O Q i 9 B d X R v U m V t b 3 Z l Z E N v b H V t b n M x L n t N d X p p Z W t r b 3 J w c y B i a W o g b W F y c y B l b i B k Z W Z p b F x 1 M D B F O S w 0 f S Z x d W 9 0 O y w m c X V v d D t T Z W N 0 a W 9 u M S 9 L R F J 2 T k I v Q X V 0 b 1 J l b W 9 2 Z W R D b 2 x 1 b W 5 z M S 5 7 R G V l b G 4 u I G p l d W d k a 2 9 u a W 5 n c 2 N o a W V 0 Z W 4 s N X 0 m c X V v d D s s J n F 1 b 3 Q 7 U 2 V j d G l v b j E v S 0 R S d k 5 C L 0 F 1 d G 9 S Z W 1 v d m V k Q 2 9 s d W 1 u c z E u e 0 1 h a i 4 g U 2 V u a W 9 y Z W 4 g a n V y Z X J l b i B i a W o g b W F y c y w 2 f S Z x d W 9 0 O y w m c X V v d D t T Z W N 0 a W 9 u M S 9 L R F J 2 T k I v Q X V 0 b 1 J l b W 9 2 Z W R D b 2 x 1 b W 5 z M S 5 7 T W F q L i B K Z X V n Z C B q d X J l c m V u I G J p a i B t Y X J z L D d 9 J n F 1 b 3 Q 7 L C Z x d W 9 0 O 1 N l Y 3 R p b 2 4 x L 0 t E U n Z O Q i 9 B d X R v U m V t b 3 Z l Z E N v b H V t b n M x L n t L b 3 J w c y B z Z W 5 p b 3 J l b i w 4 f S Z x d W 9 0 O y w m c X V v d D t T Z W N 0 a W 9 u M S 9 L R F J 2 T k I v Q X V 0 b 1 J l b W 9 2 Z W R D b 2 x 1 b W 5 z M S 5 7 S n V u a W 9 y Z W 4 g a 2 9 y c H M g M S w 5 f S Z x d W 9 0 O y w m c X V v d D t T Z W N 0 a W 9 u M S 9 L R F J 2 T k I v Q X V 0 b 1 J l b W 9 2 Z W R D b 2 x 1 b W 5 z M S 5 7 S n V u a W 9 y Z W 4 g a 2 9 y c H M g M i w x M H 0 m c X V v d D s s J n F 1 b 3 Q 7 U 2 V j d G l v b j E v S 0 R S d k 5 C L 0 F 1 d G 9 S Z W 1 v d m V k Q 2 9 s d W 1 u c z E u e 0 F z c G l y Y W 5 0 Z W 4 g a 2 9 y c H M g M S w x M X 0 m c X V v d D s s J n F 1 b 3 Q 7 U 2 V j d G l v b j E v S 0 R S d k 5 C L 0 F 1 d G 9 S Z W 1 v d m V k Q 2 9 s d W 1 u c z E u e 0 F z c G l y Y W 5 0 Z W 4 g a 2 9 y c H M g M i w x M n 0 m c X V v d D s s J n F 1 b 3 Q 7 U 2 V j d G l v b j E v S 0 R S d k 5 C L 0 F 1 d G 9 S Z W 1 v d m V k Q 2 9 s d W 1 u c z E u e 0 F j c m 9 i Y X R p c 2 N o I H N l b m l v c m V u L D E z f S Z x d W 9 0 O y w m c X V v d D t T Z W N 0 a W 9 u M S 9 L R F J 2 T k I v Q X V 0 b 1 J l b W 9 2 Z W R D b 2 x 1 b W 5 z M S 5 7 Q W N y b 2 J h d G l z Y 2 g g a n V u a W 9 y Z W 4 s M T R 9 J n F 1 b 3 Q 7 L C Z x d W 9 0 O 1 N l Y 3 R p b 2 4 x L 0 t E U n Z O Q i 9 B d X R v U m V t b 3 Z l Z E N v b H V t b n M x L n t B Y 3 J v Y m F 0 a X N j a C B h c 3 B p c m F u d G V u L D E 1 f S Z x d W 9 0 O y w m c X V v d D t T Z W N 0 a W 9 u M S 9 L R F J 2 T k I v Q X V 0 b 1 J l b W 9 2 Z W R D b 2 x 1 b W 5 z M S 5 7 U 2 h v d y B z Z W 5 p b 3 J l b i w x N n 0 m c X V v d D s s J n F 1 b 3 Q 7 U 2 V j d G l v b j E v S 0 R S d k 5 C L 0 F 1 d G 9 S Z W 1 v d m V k Q 2 9 s d W 1 u c z E u e 1 N o b 3 c g a n V u a W 9 y Z W 4 s M T d 9 J n F 1 b 3 Q 7 L C Z x d W 9 0 O 1 N l Y 3 R p b 2 4 x L 0 t E U n Z O Q i 9 B d X R v U m V t b 3 Z l Z E N v b H V t b n M x L n t T a G 9 3 I G F z c G l y Y W 5 0 Z W 4 s M T h 9 J n F 1 b 3 Q 7 L C Z x d W 9 0 O 1 N l Y 3 R p b 2 4 x L 0 t E U n Z O Q i 9 B d X R v U m V t b 3 Z l Z E N v b H V t b n M x L n t T Z W 5 p b 3 J l b i B p b m R p d i 4 s M T l 9 J n F 1 b 3 Q 7 L C Z x d W 9 0 O 1 N l Y 3 R p b 2 4 x L 0 t E U n Z O Q i 9 B d X R v U m V t b 3 Z l Z E N v b H V t b n M x L n t K d W 5 p b 3 J l b i B p b m R p d i 4 s M j B 9 J n F 1 b 3 Q 7 L C Z x d W 9 0 O 1 N l Y 3 R p b 2 4 x L 0 t E U n Z O Q i 9 B d X R v U m V t b 3 Z l Z E N v b H V t b n M x L n t B c 3 B p c m F u d G V u I G l u Z G l 2 L i w y M X 0 m c X V v d D s s J n F 1 b 3 Q 7 U 2 V j d G l v b j E v S 0 R S d k 5 C L 0 F 1 d G 9 S Z W 1 v d m V k Q 2 9 s d W 1 u c z E u e 1 N l b i 4 g a W 5 k I G 9 w Z 2 V n Z X Z l b i B u Y W 1 l b i w y M n 0 m c X V v d D s s J n F 1 b 3 Q 7 U 2 V j d G l v b j E v S 0 R S d k 5 C L 0 F 1 d G 9 S Z W 1 v d m V k Q 2 9 s d W 1 u c z E u e 0 p 1 b i 4 g a W 5 k I G 9 w Z 2 V n Z X Z l b i B u Y W 1 l b i w y M 3 0 m c X V v d D s s J n F 1 b 3 Q 7 U 2 V j d G l v b j E v S 0 R S d k 5 C L 0 F 1 d G 9 S Z W 1 v d m V k Q 2 9 s d W 1 u c z E u e 0 F z c C 4 g a W 5 k I G 9 w Z 2 V n Z X Z l b i B u Y W 1 l b i w y N H 0 m c X V v d D s s J n F 1 b 3 Q 7 U 2 V j d G l v b j E v S 0 R S d k 5 C L 0 F 1 d G 9 S Z W 1 v d m V k Q 2 9 s d W 1 u c z E u e 0 h v b 2 Z k a 2 9 y c H M s M j V 9 J n F 1 b 3 Q 7 L C Z x d W 9 0 O 1 N l Y 3 R p b 2 4 x L 0 t E U n Z O Q i 9 B d X R v U m V t b 3 Z l Z E N v b H V t b n M x L n s y Z S B r b 3 J w c y w y N n 0 m c X V v d D s s J n F 1 b 3 Q 7 U 2 V j d G l v b j E v S 0 R S d k 5 C L 0 F 1 d G 9 S Z W 1 v d m V k Q 2 9 s d W 1 u c z E u e 0 d y b 2 V w Z W 4 s I H R l Y W 1 z L C B l b n N l b W J s Z X M g Z W 4 g Z H V v X H U w M D I 3 c y w y N 3 0 m c X V v d D s s J n F 1 b 3 Q 7 U 2 V j d G l v b j E v S 0 R S d k 5 C L 0 F 1 d G 9 S Z W 1 v d m V k Q 2 9 s d W 1 u c z E u e 1 N l b m l v c m V u L D I 4 f S Z x d W 9 0 O y w m c X V v d D t T Z W N 0 a W 9 u M S 9 L R F J 2 T k I v Q X V 0 b 1 J l b W 9 2 Z W R D b 2 x 1 b W 5 z M S 5 7 S m 9 u Z y B 2 b 2 x 3 Y X N z Z W 5 l L D I 5 f S Z x d W 9 0 O y w m c X V v d D t T Z W N 0 a W 9 u M S 9 L R F J 2 T k I v Q X V 0 b 1 J l b W 9 2 Z W R D b 2 x 1 b W 5 z M S 5 7 S n V u a W 9 y Z W 4 s M z B 9 J n F 1 b 3 Q 7 L C Z x d W 9 0 O 1 N l Y 3 R p b 2 4 x L 0 t E U n Z O Q i 9 B d X R v U m V t b 3 Z l Z E N v b H V t b n M x L n t B c 3 B p c m F u d G V u L D M x f S Z x d W 9 0 O y w m c X V v d D t T Z W N 0 a W 9 u M S 9 L R F J 2 T k I v Q X V 0 b 1 J l b W 9 2 Z W R D b 2 x 1 b W 5 z M S 5 7 T 3 B n Z W d l d m V u I H N l b m l v c m V u L D M y f S Z x d W 9 0 O y w m c X V v d D t T Z W N 0 a W 9 u M S 9 L R F J 2 T k I v Q X V 0 b 1 J l b W 9 2 Z W R D b 2 x 1 b W 5 z M S 5 7 T 3 B n Z W d l d m V u I G p v b m c g d m 9 s d 2 F z c 2 V u Z S w z M 3 0 m c X V v d D s s J n F 1 b 3 Q 7 U 2 V j d G l v b j E v S 0 R S d k 5 C L 0 F 1 d G 9 S Z W 1 v d m V k Q 2 9 s d W 1 u c z E u e 0 9 w Z 2 V n Z X Z l b i B q d W 5 p b 3 J l b i w z N H 0 m c X V v d D s s J n F 1 b 3 Q 7 U 2 V j d G l v b j E v S 0 R S d k 5 C L 0 F 1 d G 9 S Z W 1 v d m V k Q 2 9 s d W 1 u c z E u e 0 9 w Z 2 V n Z X Z l b i B h c 3 B p c m F u d G V u L D M 1 f S Z x d W 9 0 O y w m c X V v d D t T Z W N 0 a W 9 u M S 9 L R F J 2 T k I v Q X V 0 b 1 J l b W 9 2 Z W R D b 2 x 1 b W 5 z M S 5 7 T W F y a 2 V 0 Z W 5 0 c 3 R l c n M s M z Z 9 J n F 1 b 3 Q 7 L C Z x d W 9 0 O 1 N l Y 3 R p b 2 4 x L 0 t E U n Z O Q i 9 B d X R v U m V t b 3 Z l Z E N v b H V t b n M x L n t M d W N o d G d l d 2 V l c i w z N 3 0 m c X V v d D s s J n F 1 b 3 Q 7 U 2 V j d G l v b j E v S 0 R S d k 5 C L 0 F 1 d G 9 S Z W 1 v d m V k Q 2 9 s d W 1 u c z E u e 0 F h b n R h b C B s d W N o d G d l d 2 V l c n N j a H V 0 d G V y c y w z O H 0 m c X V v d D s s J n F 1 b 3 Q 7 U 2 V j d G l v b j E v S 0 R S d k 5 C L 0 F 1 d G 9 S Z W 1 v d m V k Q 2 9 s d W 1 u c z E u e 0 x 1 Y 2 h 0 c G l z d G 9 v b C w z O X 0 m c X V v d D s s J n F 1 b 3 Q 7 U 2 V j d G l v b j E v S 0 R S d k 5 C L 0 F 1 d G 9 S Z W 1 v d m V k Q 2 9 s d W 1 u c z E u e 0 F h b n R h b C B s d W N o d H B p c 3 R v b 2 x z Y 2 h 1 d H R l c n M s N D B 9 J n F 1 b 3 Q 7 L C Z x d W 9 0 O 1 N l Y 3 R p b 2 4 x L 0 t E U n Z O Q i 9 B d X R v U m V t b 3 Z l Z E N v b H V t b n M x L n t I Y W 5 k Y m 9 v Z y w 0 M X 0 m c X V v d D s s J n F 1 b 3 Q 7 U 2 V j d G l v b j E v S 0 R S d k 5 C L 0 F 1 d G 9 S Z W 1 v d m V k Q 2 9 s d W 1 u c z E u e 0 F h b n R h b C B o Y W 5 k Y m 9 v Z 3 N j a H V 0 d G V y c y w 0 M n 0 m c X V v d D s s J n F 1 b 3 Q 7 U 2 V j d G l v b j E v S 0 R S d k 5 C L 0 F 1 d G 9 S Z W 1 v d m V k Q 2 9 s d W 1 u c z E u e 0 t y d W l z Y m 9 v Z y w 0 M 3 0 m c X V v d D s s J n F 1 b 3 Q 7 U 2 V j d G l v b j E v S 0 R S d k 5 C L 0 F 1 d G 9 S Z W 1 v d m V k Q 2 9 s d W 1 u c z E u e 0 F h b n R h b C B r c n V p c 2 J v b 2 d z Y 2 h 1 d H R l c n M s N D R 9 J n F 1 b 3 Q 7 L C Z x d W 9 0 O 1 N l Y 3 R p b 2 4 x L 0 t E U n Z O Q i 9 B d X R v U m V t b 3 Z l Z E N v b H V t b n M x L n t M d W N o d G d l d 2 V l c i B q Z X V n Z C B u a W V 0 I G 9 1 Z G V y I G R h b i A x N y B q Y W F y L i w 0 N X 0 m c X V v d D s s J n F 1 b 3 Q 7 U 2 V j d G l v b j E v S 0 R S d k 5 C L 0 F 1 d G 9 S Z W 1 v d m V k Q 2 9 s d W 1 u c z E u e 0 F h b n R h b C B r b 3 J w c 2 V u L D Q 2 f S Z x d W 9 0 O y w m c X V v d D t T Z W N 0 a W 9 u M S 9 L R F J 2 T k I v Q X V 0 b 1 J l b W 9 2 Z W R D b 2 x 1 b W 5 z M S 5 7 T 3 B n Z W d l d m V u I G p l d W d k a 2 9 y c H N l b i B M R y w 0 N 3 0 m c X V v d D s s J n F 1 b 3 Q 7 U 2 V j d G l v b j E v S 0 R S d k 5 C L 0 F 1 d G 9 S Z W 1 v d m V k Q 2 9 s d W 1 u c z E u e 1 R v d G F h b C B h Y W 5 0 Y W w g Z G V l b G 5 l b W V y c y w 0 O H 0 m c X V v d D s s J n F 1 b 3 Q 7 U 2 V j d G l v b j E v S 0 R S d k 5 C L 0 F 1 d G 9 S Z W 1 v d m V k Q 2 9 s d W 1 u c z E u e 1 d h Y X J 2 Y W 4 g Y W F u d G F s I G p l d W d k I C h 0 L 2 0 g M T U g a m F h c i k s N D l 9 J n F 1 b 3 Q 7 L C Z x d W 9 0 O 1 N l Y 3 R p b 2 4 x L 0 t E U n Z O Q i 9 B d X R v U m V t b 3 Z l Z E N v b H V t b n M x L n t L Y W 5 v b i B l d G M u L D U w f S Z x d W 9 0 O y w m c X V v d D t T Z W N 0 a W 9 u M S 9 L R F J 2 T k I v Q X V 0 b 1 J l b W 9 2 Z W R D b 2 x 1 b W 5 z M S 5 7 U G F h c m R l b i B l b i 9 v Z i B r b 2 V 0 c 2 V u L D U x f S Z x d W 9 0 O y w m c X V v d D t T Z W N 0 a W 9 u M S 9 L R F J 2 T k I v Q X V 0 b 1 J l b W 9 2 Z W R D b 2 x 1 b W 5 z M S 5 7 V G 9 l b G l j a H R p b m c v b 3 B t Z X J r a W 5 n Z W 4 s N T J 9 J n F 1 b 3 Q 7 L C Z x d W 9 0 O 1 N l Y 3 R p b 2 4 x L 0 t E U n Z O Q i 9 B d X R v U m V t b 3 Z l Z E N v b H V t b n M x L n t J b n p l b m R p b m c t S U Q s N T N 9 J n F 1 b 3 Q 7 L C Z x d W 9 0 O 1 N l Y 3 R p b 2 4 x L 0 t E U n Z O Q i 9 B d X R v U m V t b 3 Z l Z E N v b H V t b n M x L n t J b n p l b m R k Y X R 1 b S w 1 N H 0 m c X V v d D s s J n F 1 b 3 Q 7 U 2 V j d G l v b j E v S 0 R S d k 5 C L 0 F 1 d G 9 S Z W 1 v d m V k Q 2 9 s d W 1 u c z E u e 0 R h d G U g V X B k Y X R l Z C w 1 N X 0 m c X V v d D s s J n F 1 b 3 Q 7 U 2 V j d G l v b j E v S 0 R S d k 5 C L 0 F 1 d G 9 S Z W 1 v d m V k Q 2 9 s d W 1 u c z E u e 0 5 h Y W 0 g d m F u I G h l d C B o b 2 9 m Z G t v c n B z L D U 2 f S Z x d W 9 0 O y w m c X V v d D t T Z W N 0 a W 9 u M S 9 L R F J 2 T k I v Q X V 0 b 1 J l b W 9 2 Z W R D b 2 x 1 b W 5 z M S 5 7 W m F s I G 9 w I H R y Z W R l b i B h b H M g K G h v b 2 Z k a 2 9 y c H M p L D U 3 f S Z x d W 9 0 O y w m c X V v d D t T Z W N 0 a W 9 u M S 9 L R F J 2 T k I v Q X V 0 b 1 J l b W 9 2 Z W R D b 2 x 1 b W 5 z M S 5 7 V m 9 y b S B 2 Y W 4 g d H d l Z S B t d X p p Z W t 3 Z X J r Z W 4 g K G h v b 2 Z k a 2 9 y c H M p L D U 4 f S Z x d W 9 0 O y w m c X V v d D t T Z W N 0 a W 9 u M S 9 L R F J 2 T k I v Q X V 0 b 1 J l b W 9 2 Z W R D b 2 x 1 b W 5 z M S 5 7 W m F s I H V p d G t v b W V u I G l u I G R l O i A o a G 9 v Z m R r b 3 J w c y k s N T l 9 J n F 1 b 3 Q 7 L C Z x d W 9 0 O 1 N l Y 3 R p b 2 4 x L 0 t E U n Z O Q i 9 B d X R v U m V t b 3 Z l Z E N v b H V t b n M x L n t N d X p p Z W t 3 Z X J r M S A o a G 9 v Z m R r b 3 J w c y k s N j B 9 J n F 1 b 3 Q 7 L C Z x d W 9 0 O 1 N l Y 3 R p b 2 4 x L 0 t E U n Z O Q i 9 B d X R v U m V t b 3 Z l Z E N v b H V t b n M x L n t N d X p p Z W t 3 Z X J r M i A o a G 9 v Z m R r b 3 J w c y k s N j F 9 J n F 1 b 3 Q 7 L C Z x d W 9 0 O 1 N l Y 3 R p b 2 4 x L 0 t E U n Z O Q i 9 B d X R v U m V t b 3 Z l Z E N v b H V t b n M x L n t L b 3 J w c y B i Z X N 0 Y W F 0 I H V p d C A u L i 4 g Z G V l b G 5 l b W V y c y A o a G 9 v Z m R r b 3 J w c y k s N j J 9 J n F 1 b 3 Q 7 L C Z x d W 9 0 O 1 N l Y 3 R p b 2 4 x L 0 t E U n Z O Q i 9 B d X R v U m V t b 3 Z l Z E N v b H V t b n M x L n t O Y W F t I H Z h b i B o Z X Q g M m U g a 2 9 y c H M s N j N 9 J n F 1 b 3 Q 7 L C Z x d W 9 0 O 1 N l Y 3 R p b 2 4 x L 0 t E U n Z O Q i 9 B d X R v U m V t b 3 Z l Z E N v b H V t b n M x L n t a Y W w g b 3 A g d H J l Z G V u I G F s c y A o M m U g a 2 9 y c H M p L D Y 0 f S Z x d W 9 0 O y w m c X V v d D t T Z W N 0 a W 9 u M S 9 L R F J 2 T k I v Q X V 0 b 1 J l b W 9 2 Z W R D b 2 x 1 b W 5 z M S 5 7 V m 9 y b S B 2 Y W 4 g d H d l Z S B t d X p p Z W t 3 Z X J r Z W 4 g K D J l I G t v c n B z K S w 2 N X 0 m c X V v d D s s J n F 1 b 3 Q 7 U 2 V j d G l v b j E v S 0 R S d k 5 C L 0 F 1 d G 9 S Z W 1 v d m V k Q 2 9 s d W 1 u c z E u e 1 p h b C B 1 a X R r b 2 1 l b i B p b i B k Z T o g K D J l I G t v c n B z K S w 2 N n 0 m c X V v d D s s J n F 1 b 3 Q 7 U 2 V j d G l v b j E v S 0 R S d k 5 C L 0 F 1 d G 9 S Z W 1 v d m V k Q 2 9 s d W 1 u c z E u e 0 1 1 e m l l a 3 d l c m s x I C g y Z S B r b 3 J w c y k s N j d 9 J n F 1 b 3 Q 7 L C Z x d W 9 0 O 1 N l Y 3 R p b 2 4 x L 0 t E U n Z O Q i 9 B d X R v U m V t b 3 Z l Z E N v b H V t b n M x L n t N d X p p Z W t 3 Z X J r M i A o M m U g a 2 9 y c H M p L D Y 4 f S Z x d W 9 0 O y w m c X V v d D t T Z W N 0 a W 9 u M S 9 L R F J 2 T k I v Q X V 0 b 1 J l b W 9 2 Z W R D b 2 x 1 b W 5 z M S 5 7 S 2 9 y c H M g Y m V z d G F h d C B 1 a X Q g L i 4 u I G R l Z W x u Z W 1 l c n M g K D J l I G t v c n B z K S w 2 O X 0 m c X V v d D s s J n F 1 b 3 Q 7 U 2 V j d G l v b j E v S 0 R S d k 5 C L 0 F 1 d G 9 S Z W 1 v d m V k Q 2 9 s d W 1 u c z E u e 0 1 l Y 2 h h b m l z Y 2 h l I G 1 1 e m l l a y w 3 M H 0 m c X V v d D s s J n F 1 b 3 Q 7 U 2 V j d G l v b j E v S 0 R S d k 5 C L 0 F 1 d G 9 S Z W 1 v d m V k Q 2 9 s d W 1 u c z E u e 0 9 u Z G V y Z G V s Z W 4 s N z F 9 J n F 1 b 3 Q 7 L C Z x d W 9 0 O 1 N l Y 3 R p b 2 4 x L 0 t E U n Z O Q i 9 B d X R v U m V t b 3 Z l Z E N v b H V t b n M x L n t T Z W N 0 a W V z L D c y f S Z x d W 9 0 O y w m c X V v d D t T Z W N 0 a W 9 u M S 9 L R F J 2 T k I v Q X V 0 b 1 J l b W 9 2 Z W R D b 2 x 1 b W 5 z M S 5 7 T G V l Z n R p a m R z Y 2 F 0 Z W d v c m l l L D c z f S Z x d W 9 0 O y w m c X V v d D t T Z W N 0 a W 9 u M S 9 L R F J 2 T k I v Q X V 0 b 1 J l b W 9 2 Z W R D b 2 x 1 b W 5 z M S 5 7 Q W F u d G F s I G 9 w Z 2 V n Z X Z l b i B t Y W p v c m V 0 d G V z L D c 0 f S Z x d W 9 0 O 1 0 s J n F 1 b 3 Q 7 U m V s Y X R p b 2 5 z a G l w S W 5 m b y Z x d W 9 0 O z p b X X 0 i I C 8 + P C 9 T d G F i b G V F b n R y a W V z P j w v S X R l b T 4 8 S X R l b T 4 8 S X R l b U x v Y 2 F 0 a W 9 u P j x J d G V t V H l w Z T 5 G b 3 J t d W x h P C 9 J d G V t V H l w Z T 4 8 S X R l b V B h d G g + U 2 V j d G l v b j E v S 3 J p b m d k Y W d l b j w v S X R l b V B h d G g + P C 9 J d G V t T G 9 j Y X R p b 2 4 + P F N 0 Y W J s Z U V u d H J p Z X M + P E V u d H J 5 I F R 5 c G U 9 I k J 1 Z m Z l c k 5 l e H R S Z W Z y Z X N o I i B W Y W x 1 Z T 0 i b D E i I C 8 + P E V u d H J 5 I F R 5 c G U 9 I k Z p b G x F b m F i b G V k I i B W Y W x 1 Z T 0 i b D E i I C 8 + P E V u d H J 5 I F R 5 c G U 9 I k Z p b G x l Z E N v b X B s Z X R l U m V z d W x 0 V G 9 X b 3 J r c 2 h l Z X Q i I F Z h b H V l P S J s M S I g L z 4 8 R W 5 0 c n k g V H l w Z T 0 i R m l s b F R v R G F 0 Y U 1 v Z G V s R W 5 h Y m x l Z C I g V m F s d W U 9 I m w w I i A v P j x F b n R y e S B U e X B l P S J J c 1 B y a X Z h d G U i I F Z h b H V l P S J s M C I g L z 4 8 R W 5 0 c n k g V H l w Z T 0 i U X V l c n l J R C I g V m F s d W U 9 I n M y N T Y 2 M j k z Z C 1 j N z M 2 L T R l N m M t O T Y 0 N S 0 1 M 2 U 5 O W J m Z D I x O D A i I C 8 + P E V u d H J 5 I F R 5 c G U 9 I l J l c 3 V s d F R 5 c G U i I F Z h b H V l P S J z V G F i b G U i I C 8 + P E V u d H J 5 I F R 5 c G U 9 I k 5 h d m l n Y X R p b 2 5 T d G V w T m F t Z S I g V m F s d W U 9 I n N O Y X Z p Z 2 F 0 a W U i I C 8 + P E V u d H J 5 I F R 5 c G U 9 I k Z p b G x P Y m p l Y 3 R U e X B l I i B W Y W x 1 Z T 0 i c 1 R h Y m x l I i A v P j x F b n R y e S B U e X B l P S J O Y W 1 l V X B k Y X R l Z E F m d G V y R m l s b C I g V m F s d W U 9 I m w w I i A v P j x F b n R y e S B U e X B l P S J S Z W N v d m V y e V R h c m d l d F N o Z W V 0 I i B W Y W x 1 Z T 0 i c 0 t y a W 5 n Z G F n Z W 4 i I C 8 + P E V u d H J 5 I F R 5 c G U 9 I l J l Y 2 9 2 Z X J 5 V G F y Z 2 V 0 Q 2 9 s d W 1 u I i B W Y W x 1 Z T 0 i b D E i I C 8 + P E V u d H J 5 I F R 5 c G U 9 I l J l Y 2 9 2 Z X J 5 V G F y Z 2 V 0 U m 9 3 I i B W Y W x 1 Z T 0 i b D E w I i A v P j x F b n R y e S B U e X B l P S J G a W x s V G F y Z 2 V 0 I i B W Y W x 1 Z T 0 i c 0 t y a W 5 n Z G F n Z W 4 i I C 8 + P E V u d H J 5 I F R 5 c G U 9 I k x v Y W R U b 1 J l c G 9 y d E R p c 2 F i b G V k I i B W Y W x 1 Z T 0 i b D A i I C 8 + P E V u d H J 5 I F R 5 c G U 9 I k Z p b G x M Y X N 0 V X B k Y X R l Z C I g V m F s d W U 9 I m Q y M D I 0 L T E y L T M x V D E 3 O j A 5 O j I 4 L j E 4 N T k 0 N T B a I i A v P j x F b n R y e S B U e X B l P S J G a W x s R X J y b 3 J D b 3 V u d C I g V m F s d W U 9 I m w y I i A v P j x F b n R y e S B U e X B l P S J G a W x s Q 2 9 s d W 1 u V H l w Z X M i I F Z h b H V l P S J z Q m d Z R 0 J n W U d C Z 1 l E Q X d N R E F 3 T U R B d 1 l H Q m d N R E F 3 T U R B d 1 l H Q X d N R E F 3 T U R B d 0 1 E Q m d Z R E J n T U d B d 1 l E Q m d N R E F 3 T U d C Z 1 l E Q n d j R 0 J n W U d C Z 1 l E Q m d Z R 0 J n W U d B d 1 l H Q m d Z R E J n W T 0 i I C 8 + P E V u d H J 5 I F R 5 c G U 9 I k Z p b G x F c n J v c k N v Z G U i I F Z h b H V l P S J z V W 5 r b m 9 3 b i I g L z 4 8 R W 5 0 c n k g V H l w Z T 0 i R m l s b E N v b H V t b k 5 h b W V z I i B W Y W x 1 Z T 0 i c 1 s m c X V v d D t L c m l u Z 2 R h Z y Z x d W 9 0 O y w m c X V v d D t W Z X I u b n I m c X V v d D s s J n F 1 b 3 Q 7 T m F h b S B 2 Z X J l b m l n a W 5 n J n F 1 b 3 Q 7 L C Z x d W 9 0 O 0 R l b G V n Y X R p Z S Z x d W 9 0 O y w m c X V v d D t N d X p p Z W t r b 3 J w c y B i a W o g b W F y c y B l b i B k Z W Z p b F x 1 M D B F O S Z x d W 9 0 O y w m c X V v d D t E Z W V s b i 4 g a m V 1 Z 2 R r b 2 5 p b m d z Y 2 h p Z X R l b i Z x d W 9 0 O y w m c X V v d D t N Y W o u I F N l b m l v c m V u I G p 1 c m V y Z W 4 g Y m l q I G 1 h c n M m c X V v d D s s J n F 1 b 3 Q 7 T W F q L i B K Z X V n Z C B q d X J l c m V u I G J p a i B t Y X J z J n F 1 b 3 Q 7 L C Z x d W 9 0 O 0 t v c n B z I H N l b m l v c m V u J n F 1 b 3 Q 7 L C Z x d W 9 0 O 0 p 1 b m l v c m V u I G t v c n B z I D E m c X V v d D s s J n F 1 b 3 Q 7 S n V u a W 9 y Z W 4 g a 2 9 y c H M g M i Z x d W 9 0 O y w m c X V v d D t B c 3 B p c m F u d G V u I G t v c n B z I D E m c X V v d D s s J n F 1 b 3 Q 7 Q X N w a X J h b n R l b i B r b 3 J w c y A y J n F 1 b 3 Q 7 L C Z x d W 9 0 O 0 F j c m 9 i Y X R p c 2 N o I H N l b m l v c m V u J n F 1 b 3 Q 7 L C Z x d W 9 0 O 0 F j c m 9 i Y X R p c 2 N o I G p 1 b m l v c m V u J n F 1 b 3 Q 7 L C Z x d W 9 0 O 0 F j c m 9 i Y X R p c 2 N o I G F z c G l y Y W 5 0 Z W 4 m c X V v d D s s J n F 1 b 3 Q 7 U 2 h v d y B z Z W 5 p b 3 J l b i Z x d W 9 0 O y w m c X V v d D t T a G 9 3 I G p 1 b m l v c m V u J n F 1 b 3 Q 7 L C Z x d W 9 0 O 1 N o b 3 c g Y X N w a X J h b n R l b i Z x d W 9 0 O y w m c X V v d D t T Z W 5 p b 3 J l b i B p b m R p d i 4 m c X V v d D s s J n F 1 b 3 Q 7 S n V u a W 9 y Z W 4 g a W 5 k a X Y u J n F 1 b 3 Q 7 L C Z x d W 9 0 O 0 F z c G l y Y W 5 0 Z W 4 g a W 5 k a X Y u J n F 1 b 3 Q 7 L C Z x d W 9 0 O 1 N l b i 4 g a W 5 k I G 9 w Z 2 V n Z X Z l b i B u Y W 1 l b i Z x d W 9 0 O y w m c X V v d D t K d W 4 u I G l u Z C B v c G d l Z 2 V 2 Z W 4 g b m F t Z W 4 m c X V v d D s s J n F 1 b 3 Q 7 Q X N w L i B p b m Q g b 3 B n Z W d l d m V u I G 5 h b W V u J n F 1 b 3 Q 7 L C Z x d W 9 0 O 0 h v b 2 Z k a 2 9 y c H M m c X V v d D s s J n F 1 b 3 Q 7 M m U g a 2 9 y c H M m c X V v d D s s J n F 1 b 3 Q 7 R 3 J v Z X B l b i w g d G V h b X M s I G V u c 2 V t Y m x l c y B l b i B k d W 9 c d T A w M j d z J n F 1 b 3 Q 7 L C Z x d W 9 0 O 1 N l b m l v c m V u J n F 1 b 3 Q 7 L C Z x d W 9 0 O 0 p v b m c g d m 9 s d 2 F z c 2 V u Z S Z x d W 9 0 O y w m c X V v d D t K d W 5 p b 3 J l b i Z x d W 9 0 O y w m c X V v d D t B c 3 B p c m F u d G V u J n F 1 b 3 Q 7 L C Z x d W 9 0 O 0 9 w Z 2 V n Z X Z l b i B z Z W 5 p b 3 J l b i Z x d W 9 0 O y w m c X V v d D t P c G d l Z 2 V 2 Z W 4 g a m 9 u Z y B 2 b 2 x 3 Y X N z Z W 5 l J n F 1 b 3 Q 7 L C Z x d W 9 0 O 0 9 w Z 2 V n Z X Z l b i B q d W 5 p b 3 J l b i Z x d W 9 0 O y w m c X V v d D t P c G d l Z 2 V 2 Z W 4 g Y X N w a X J h b n R l b i Z x d W 9 0 O y w m c X V v d D t N Y X J r Z X R l b n R z d G V y c y Z x d W 9 0 O y w m c X V v d D t M d W N o d G d l d 2 V l c i Z x d W 9 0 O y w m c X V v d D t B Y W 5 0 Y W w g b H V j a H R n Z X d l Z X J z Y 2 h 1 d H R l c n M m c X V v d D s s J n F 1 b 3 Q 7 T H V j a H R w a X N 0 b 2 9 s J n F 1 b 3 Q 7 L C Z x d W 9 0 O 0 F h b n R h b C B s d W N o d H B p c 3 R v b 2 x z Y 2 h 1 d H R l c n M m c X V v d D s s J n F 1 b 3 Q 7 S G F u Z G J v b 2 c m c X V v d D s s J n F 1 b 3 Q 7 Q W F u d G F s I G h h b m R i b 2 9 n c 2 N o d X R 0 Z X J z J n F 1 b 3 Q 7 L C Z x d W 9 0 O 0 t y d W l z Y m 9 v Z y Z x d W 9 0 O y w m c X V v d D t B Y W 5 0 Y W w g a 3 J 1 a X N i b 2 9 n c 2 N o d X R 0 Z X J z J n F 1 b 3 Q 7 L C Z x d W 9 0 O 0 x 1 Y 2 h 0 Z 2 V 3 Z W V y I G p l d W d k I G 5 p Z X Q g b 3 V k Z X I g Z G F u I D E 3 I G p h Y X I u J n F 1 b 3 Q 7 L C Z x d W 9 0 O 0 F h b n R h b C B r b 3 J w c 2 V u J n F 1 b 3 Q 7 L C Z x d W 9 0 O 0 9 w Z 2 V n Z X Z l b i B q Z X V n Z G t v c n B z Z W 4 g T E c m c X V v d D s s J n F 1 b 3 Q 7 V G 9 0 Y W F s I G F h b n R h b C B k Z W V s b m V t Z X J z J n F 1 b 3 Q 7 L C Z x d W 9 0 O 1 d h Y X J 2 Y W 4 g Y W F u d G F s I G p l d W d k I C h 0 L 2 0 g M T U g a m F h c i k m c X V v d D s s J n F 1 b 3 Q 7 S 2 F u b 2 4 g Z X R j L i Z x d W 9 0 O y w m c X V v d D t Q Y W F y Z G V u I G V u L 2 9 m I G t v Z X R z Z W 4 m c X V v d D s s J n F 1 b 3 Q 7 V G 9 l b G l j a H R p b m c v b 3 B t Z X J r a W 5 n Z W 4 m c X V v d D s s J n F 1 b 3 Q 7 S W 5 6 Z W 5 k a W 5 n L U l E J n F 1 b 3 Q 7 L C Z x d W 9 0 O 0 l u e m V u Z G R h d H V t J n F 1 b 3 Q 7 L C Z x d W 9 0 O 0 R h d G U g V X B k Y X R l Z C Z x d W 9 0 O y w m c X V v d D t O Y W F t I H Z h b i B o Z X Q g a G 9 v Z m R r b 3 J w c y Z x d W 9 0 O y w m c X V v d D t a Y W w g b 3 A g d H J l Z G V u I G F s c y A o a G 9 v Z m R r b 3 J w c y k m c X V v d D s s J n F 1 b 3 Q 7 V m 9 y b S B 2 Y W 4 g d H d l Z S B t d X p p Z W t 3 Z X J r Z W 4 g K G h v b 2 Z k a 2 9 y c H M p J n F 1 b 3 Q 7 L C Z x d W 9 0 O 1 p h b C B 1 a X R r b 2 1 l b i B p b i B k Z T o g K G h v b 2 Z k a 2 9 y c H M p J n F 1 b 3 Q 7 L C Z x d W 9 0 O 0 1 1 e m l l a 3 d l c m s x I C h o b 2 9 m Z G t v c n B z K S Z x d W 9 0 O y w m c X V v d D t N d X p p Z W t 3 Z X J r M i A o a G 9 v Z m R r b 3 J w c y k m c X V v d D s s J n F 1 b 3 Q 7 S 2 9 y c H M g Y m V z d G F h d C B 1 a X Q g L i 4 u I G R l Z W x u Z W 1 l c n M g K G h v b 2 Z k a 2 9 y c H M p J n F 1 b 3 Q 7 L C Z x d W 9 0 O 0 5 h Y W 0 g d m F u I G h l d C A y Z S B r b 3 J w c y Z x d W 9 0 O y w m c X V v d D t a Y W w g b 3 A g d H J l Z G V u I G F s c y A o M m U g a 2 9 y c H M p J n F 1 b 3 Q 7 L C Z x d W 9 0 O 1 Z v c m 0 g d m F u I H R 3 Z W U g b X V 6 a W V r d 2 V y a 2 V u I C g y Z S B r b 3 J w c y k m c X V v d D s s J n F 1 b 3 Q 7 W m F s I H V p d G t v b W V u I G l u I G R l O i A o M m U g a 2 9 y c H M p J n F 1 b 3 Q 7 L C Z x d W 9 0 O 0 1 1 e m l l a 3 d l c m s x I C g y Z S B r b 3 J w c y k m c X V v d D s s J n F 1 b 3 Q 7 T X V 6 a W V r d 2 V y a z I g K D J l I G t v c n B z K S Z x d W 9 0 O y w m c X V v d D t L b 3 J w c y B i Z X N 0 Y W F 0 I H V p d C A u L i 4 g Z G V l b G 5 l b W V y c y A o M m U g a 2 9 y c H M p J n F 1 b 3 Q 7 L C Z x d W 9 0 O 0 1 l Y 2 h h b m l z Y 2 h l I G 1 1 e m l l a y Z x d W 9 0 O y w m c X V v d D t P b m R l c m R l b G V u J n F 1 b 3 Q 7 L C Z x d W 9 0 O 1 N l Y 3 R p Z X M m c X V v d D s s J n F 1 b 3 Q 7 T G V l Z n R p a m R z Y 2 F 0 Z W d v c m l l J n F 1 b 3 Q 7 L C Z x d W 9 0 O 0 F h b n R h b C B v c G d l Z 2 V 2 Z W 4 g b W F q b 3 J l d H R l c y Z x d W 9 0 O y w m c X V v d D t D b 2 x 1 b W 4 x J n F 1 b 3 Q 7 L C Z x d W 9 0 O 1 8 z M z I m c X V v d D t d I i A v P j x F b n R y e S B U e X B l P S J G a W x s Q 2 9 1 b n Q i I F Z h b H V l P S J s M T E x I i A v P j x F b n R y e S B U e X B l P S J G a W x s U 3 R h d H V z I i B W Y W x 1 Z T 0 i c 0 N v b X B s Z X R l I i A v P j x F b n R y e S B U e X B l P S J B Z G R l Z F R v R G F 0 Y U 1 v Z G V s I i B W Y W x 1 Z T 0 i b D A i I C 8 + P E V u d H J 5 I F R 5 c G U 9 I l J l b G F 0 a W 9 u c 2 h p c E l u Z m 9 D b 2 5 0 Y W l u Z X I i I F Z h b H V l P S J z e y Z x d W 9 0 O 2 N v b H V t b k N v d W 5 0 J n F 1 b 3 Q 7 O j c 3 L C Z x d W 9 0 O 2 t l e U N v b H V t b k 5 h b W V z J n F 1 b 3 Q 7 O l t d L C Z x d W 9 0 O 3 F 1 Z X J 5 U m V s Y X R p b 2 5 z a G l w c y Z x d W 9 0 O z p b X S w m c X V v d D t j b 2 x 1 b W 5 J Z G V u d G l 0 a W V z J n F 1 b 3 Q 7 O l s m c X V v d D t T Z W N 0 a W 9 u M S 9 L c m l u Z 2 R h Z 2 V u L 0 F 1 d G 9 S Z W 1 v d m V k Q 2 9 s d W 1 u c z E u e 0 t y a W 5 n Z G F n L D B 9 J n F 1 b 3 Q 7 L C Z x d W 9 0 O 1 N l Y 3 R p b 2 4 x L 0 t y a W 5 n Z G F n Z W 4 v Q X V 0 b 1 J l b W 9 2 Z W R D b 2 x 1 b W 5 z M S 5 7 V m V y L m 5 y L D F 9 J n F 1 b 3 Q 7 L C Z x d W 9 0 O 1 N l Y 3 R p b 2 4 x L 0 t y a W 5 n Z G F n Z W 4 v Q X V 0 b 1 J l b W 9 2 Z W R D b 2 x 1 b W 5 z M S 5 7 T m F h b S B 2 Z X J l b m l n a W 5 n L D J 9 J n F 1 b 3 Q 7 L C Z x d W 9 0 O 1 N l Y 3 R p b 2 4 x L 0 t y a W 5 n Z G F n Z W 4 v Q X V 0 b 1 J l b W 9 2 Z W R D b 2 x 1 b W 5 z M S 5 7 R G V s Z W d h d G l l L D N 9 J n F 1 b 3 Q 7 L C Z x d W 9 0 O 1 N l Y 3 R p b 2 4 x L 0 t y a W 5 n Z G F n Z W 4 v Q X V 0 b 1 J l b W 9 2 Z W R D b 2 x 1 b W 5 z M S 5 7 T X V 6 a W V r a 2 9 y c H M g Y m l q I G 1 h c n M g Z W 4 g Z G V m a W x c d T A w R T k s N H 0 m c X V v d D s s J n F 1 b 3 Q 7 U 2 V j d G l v b j E v S 3 J p b m d k Y W d l b i 9 B d X R v U m V t b 3 Z l Z E N v b H V t b n M x L n t E Z W V s b i 4 g a m V 1 Z 2 R r b 2 5 p b m d z Y 2 h p Z X R l b i w 1 f S Z x d W 9 0 O y w m c X V v d D t T Z W N 0 a W 9 u M S 9 L c m l u Z 2 R h Z 2 V u L 0 F 1 d G 9 S Z W 1 v d m V k Q 2 9 s d W 1 u c z E u e 0 1 h a i 4 g U 2 V u a W 9 y Z W 4 g a n V y Z X J l b i B i a W o g b W F y c y w 2 f S Z x d W 9 0 O y w m c X V v d D t T Z W N 0 a W 9 u M S 9 L c m l u Z 2 R h Z 2 V u L 0 F 1 d G 9 S Z W 1 v d m V k Q 2 9 s d W 1 u c z E u e 0 1 h a i 4 g S m V 1 Z 2 Q g a n V y Z X J l b i B i a W o g b W F y c y w 3 f S Z x d W 9 0 O y w m c X V v d D t T Z W N 0 a W 9 u M S 9 L c m l u Z 2 R h Z 2 V u L 0 F 1 d G 9 S Z W 1 v d m V k Q 2 9 s d W 1 u c z E u e 0 t v c n B z I H N l b m l v c m V u L D h 9 J n F 1 b 3 Q 7 L C Z x d W 9 0 O 1 N l Y 3 R p b 2 4 x L 0 t y a W 5 n Z G F n Z W 4 v Q X V 0 b 1 J l b W 9 2 Z W R D b 2 x 1 b W 5 z M S 5 7 S n V u a W 9 y Z W 4 g a 2 9 y c H M g M S w 5 f S Z x d W 9 0 O y w m c X V v d D t T Z W N 0 a W 9 u M S 9 L c m l u Z 2 R h Z 2 V u L 0 F 1 d G 9 S Z W 1 v d m V k Q 2 9 s d W 1 u c z E u e 0 p 1 b m l v c m V u I G t v c n B z I D I s M T B 9 J n F 1 b 3 Q 7 L C Z x d W 9 0 O 1 N l Y 3 R p b 2 4 x L 0 t y a W 5 n Z G F n Z W 4 v Q X V 0 b 1 J l b W 9 2 Z W R D b 2 x 1 b W 5 z M S 5 7 Q X N w a X J h b n R l b i B r b 3 J w c y A x L D E x f S Z x d W 9 0 O y w m c X V v d D t T Z W N 0 a W 9 u M S 9 L c m l u Z 2 R h Z 2 V u L 0 F 1 d G 9 S Z W 1 v d m V k Q 2 9 s d W 1 u c z E u e 0 F z c G l y Y W 5 0 Z W 4 g a 2 9 y c H M g M i w x M n 0 m c X V v d D s s J n F 1 b 3 Q 7 U 2 V j d G l v b j E v S 3 J p b m d k Y W d l b i 9 B d X R v U m V t b 3 Z l Z E N v b H V t b n M x L n t B Y 3 J v Y m F 0 a X N j a C B z Z W 5 p b 3 J l b i w x M 3 0 m c X V v d D s s J n F 1 b 3 Q 7 U 2 V j d G l v b j E v S 3 J p b m d k Y W d l b i 9 B d X R v U m V t b 3 Z l Z E N v b H V t b n M x L n t B Y 3 J v Y m F 0 a X N j a C B q d W 5 p b 3 J l b i w x N H 0 m c X V v d D s s J n F 1 b 3 Q 7 U 2 V j d G l v b j E v S 3 J p b m d k Y W d l b i 9 B d X R v U m V t b 3 Z l Z E N v b H V t b n M x L n t B Y 3 J v Y m F 0 a X N j a C B h c 3 B p c m F u d G V u L D E 1 f S Z x d W 9 0 O y w m c X V v d D t T Z W N 0 a W 9 u M S 9 L c m l u Z 2 R h Z 2 V u L 0 F 1 d G 9 S Z W 1 v d m V k Q 2 9 s d W 1 u c z E u e 1 N o b 3 c g c 2 V u a W 9 y Z W 4 s M T Z 9 J n F 1 b 3 Q 7 L C Z x d W 9 0 O 1 N l Y 3 R p b 2 4 x L 0 t y a W 5 n Z G F n Z W 4 v Q X V 0 b 1 J l b W 9 2 Z W R D b 2 x 1 b W 5 z M S 5 7 U 2 h v d y B q d W 5 p b 3 J l b i w x N 3 0 m c X V v d D s s J n F 1 b 3 Q 7 U 2 V j d G l v b j E v S 3 J p b m d k Y W d l b i 9 B d X R v U m V t b 3 Z l Z E N v b H V t b n M x L n t T a G 9 3 I G F z c G l y Y W 5 0 Z W 4 s M T h 9 J n F 1 b 3 Q 7 L C Z x d W 9 0 O 1 N l Y 3 R p b 2 4 x L 0 t y a W 5 n Z G F n Z W 4 v Q X V 0 b 1 J l b W 9 2 Z W R D b 2 x 1 b W 5 z M S 5 7 U 2 V u a W 9 y Z W 4 g a W 5 k a X Y u L D E 5 f S Z x d W 9 0 O y w m c X V v d D t T Z W N 0 a W 9 u M S 9 L c m l u Z 2 R h Z 2 V u L 0 F 1 d G 9 S Z W 1 v d m V k Q 2 9 s d W 1 u c z E u e 0 p 1 b m l v c m V u I G l u Z G l 2 L i w y M H 0 m c X V v d D s s J n F 1 b 3 Q 7 U 2 V j d G l v b j E v S 3 J p b m d k Y W d l b i 9 B d X R v U m V t b 3 Z l Z E N v b H V t b n M x L n t B c 3 B p c m F u d G V u I G l u Z G l 2 L i w y M X 0 m c X V v d D s s J n F 1 b 3 Q 7 U 2 V j d G l v b j E v S 3 J p b m d k Y W d l b i 9 B d X R v U m V t b 3 Z l Z E N v b H V t b n M x L n t T Z W 4 u I G l u Z C B v c G d l Z 2 V 2 Z W 4 g b m F t Z W 4 s M j J 9 J n F 1 b 3 Q 7 L C Z x d W 9 0 O 1 N l Y 3 R p b 2 4 x L 0 t y a W 5 n Z G F n Z W 4 v Q X V 0 b 1 J l b W 9 2 Z W R D b 2 x 1 b W 5 z M S 5 7 S n V u L i B p b m Q g b 3 B n Z W d l d m V u I G 5 h b W V u L D I z f S Z x d W 9 0 O y w m c X V v d D t T Z W N 0 a W 9 u M S 9 L c m l u Z 2 R h Z 2 V u L 0 F 1 d G 9 S Z W 1 v d m V k Q 2 9 s d W 1 u c z E u e 0 F z c C 4 g a W 5 k I G 9 w Z 2 V n Z X Z l b i B u Y W 1 l b i w y N H 0 m c X V v d D s s J n F 1 b 3 Q 7 U 2 V j d G l v b j E v S 3 J p b m d k Y W d l b i 9 B d X R v U m V t b 3 Z l Z E N v b H V t b n M x L n t I b 2 9 m Z G t v c n B z L D I 1 f S Z x d W 9 0 O y w m c X V v d D t T Z W N 0 a W 9 u M S 9 L c m l u Z 2 R h Z 2 V u L 0 F 1 d G 9 S Z W 1 v d m V k Q 2 9 s d W 1 u c z E u e z J l I G t v c n B z L D I 2 f S Z x d W 9 0 O y w m c X V v d D t T Z W N 0 a W 9 u M S 9 L c m l u Z 2 R h Z 2 V u L 0 F 1 d G 9 S Z W 1 v d m V k Q 2 9 s d W 1 u c z E u e 0 d y b 2 V w Z W 4 s I H R l Y W 1 z L C B l b n N l b W J s Z X M g Z W 4 g Z H V v X H U w M D I 3 c y w y N 3 0 m c X V v d D s s J n F 1 b 3 Q 7 U 2 V j d G l v b j E v S 3 J p b m d k Y W d l b i 9 B d X R v U m V t b 3 Z l Z E N v b H V t b n M x L n t T Z W 5 p b 3 J l b i w y O H 0 m c X V v d D s s J n F 1 b 3 Q 7 U 2 V j d G l v b j E v S 3 J p b m d k Y W d l b i 9 B d X R v U m V t b 3 Z l Z E N v b H V t b n M x L n t K b 2 5 n I H Z v b H d h c 3 N l b m U s M j l 9 J n F 1 b 3 Q 7 L C Z x d W 9 0 O 1 N l Y 3 R p b 2 4 x L 0 t y a W 5 n Z G F n Z W 4 v Q X V 0 b 1 J l b W 9 2 Z W R D b 2 x 1 b W 5 z M S 5 7 S n V u a W 9 y Z W 4 s M z B 9 J n F 1 b 3 Q 7 L C Z x d W 9 0 O 1 N l Y 3 R p b 2 4 x L 0 t y a W 5 n Z G F n Z W 4 v Q X V 0 b 1 J l b W 9 2 Z W R D b 2 x 1 b W 5 z M S 5 7 Q X N w a X J h b n R l b i w z M X 0 m c X V v d D s s J n F 1 b 3 Q 7 U 2 V j d G l v b j E v S 3 J p b m d k Y W d l b i 9 B d X R v U m V t b 3 Z l Z E N v b H V t b n M x L n t P c G d l Z 2 V 2 Z W 4 g c 2 V u a W 9 y Z W 4 s M z J 9 J n F 1 b 3 Q 7 L C Z x d W 9 0 O 1 N l Y 3 R p b 2 4 x L 0 t y a W 5 n Z G F n Z W 4 v Q X V 0 b 1 J l b W 9 2 Z W R D b 2 x 1 b W 5 z M S 5 7 T 3 B n Z W d l d m V u I G p v b m c g d m 9 s d 2 F z c 2 V u Z S w z M 3 0 m c X V v d D s s J n F 1 b 3 Q 7 U 2 V j d G l v b j E v S 3 J p b m d k Y W d l b i 9 B d X R v U m V t b 3 Z l Z E N v b H V t b n M x L n t P c G d l Z 2 V 2 Z W 4 g a n V u a W 9 y Z W 4 s M z R 9 J n F 1 b 3 Q 7 L C Z x d W 9 0 O 1 N l Y 3 R p b 2 4 x L 0 t y a W 5 n Z G F n Z W 4 v Q X V 0 b 1 J l b W 9 2 Z W R D b 2 x 1 b W 5 z M S 5 7 T 3 B n Z W d l d m V u I G F z c G l y Y W 5 0 Z W 4 s M z V 9 J n F 1 b 3 Q 7 L C Z x d W 9 0 O 1 N l Y 3 R p b 2 4 x L 0 t y a W 5 n Z G F n Z W 4 v Q X V 0 b 1 J l b W 9 2 Z W R D b 2 x 1 b W 5 z M S 5 7 T W F y a 2 V 0 Z W 5 0 c 3 R l c n M s M z Z 9 J n F 1 b 3 Q 7 L C Z x d W 9 0 O 1 N l Y 3 R p b 2 4 x L 0 t y a W 5 n Z G F n Z W 4 v Q X V 0 b 1 J l b W 9 2 Z W R D b 2 x 1 b W 5 z M S 5 7 T H V j a H R n Z X d l Z X I s M z d 9 J n F 1 b 3 Q 7 L C Z x d W 9 0 O 1 N l Y 3 R p b 2 4 x L 0 t y a W 5 n Z G F n Z W 4 v Q X V 0 b 1 J l b W 9 2 Z W R D b 2 x 1 b W 5 z M S 5 7 Q W F u d G F s I G x 1 Y 2 h 0 Z 2 V 3 Z W V y c 2 N o d X R 0 Z X J z L D M 4 f S Z x d W 9 0 O y w m c X V v d D t T Z W N 0 a W 9 u M S 9 L c m l u Z 2 R h Z 2 V u L 0 F 1 d G 9 S Z W 1 v d m V k Q 2 9 s d W 1 u c z E u e 0 x 1 Y 2 h 0 c G l z d G 9 v b C w z O X 0 m c X V v d D s s J n F 1 b 3 Q 7 U 2 V j d G l v b j E v S 3 J p b m d k Y W d l b i 9 B d X R v U m V t b 3 Z l Z E N v b H V t b n M x L n t B Y W 5 0 Y W w g b H V j a H R w a X N 0 b 2 9 s c 2 N o d X R 0 Z X J z L D Q w f S Z x d W 9 0 O y w m c X V v d D t T Z W N 0 a W 9 u M S 9 L c m l u Z 2 R h Z 2 V u L 0 F 1 d G 9 S Z W 1 v d m V k Q 2 9 s d W 1 u c z E u e 0 h h b m R i b 2 9 n L D Q x f S Z x d W 9 0 O y w m c X V v d D t T Z W N 0 a W 9 u M S 9 L c m l u Z 2 R h Z 2 V u L 0 F 1 d G 9 S Z W 1 v d m V k Q 2 9 s d W 1 u c z E u e 0 F h b n R h b C B o Y W 5 k Y m 9 v Z 3 N j a H V 0 d G V y c y w 0 M n 0 m c X V v d D s s J n F 1 b 3 Q 7 U 2 V j d G l v b j E v S 3 J p b m d k Y W d l b i 9 B d X R v U m V t b 3 Z l Z E N v b H V t b n M x L n t L c n V p c 2 J v b 2 c s N D N 9 J n F 1 b 3 Q 7 L C Z x d W 9 0 O 1 N l Y 3 R p b 2 4 x L 0 t y a W 5 n Z G F n Z W 4 v Q X V 0 b 1 J l b W 9 2 Z W R D b 2 x 1 b W 5 z M S 5 7 Q W F u d G F s I G t y d W l z Y m 9 v Z 3 N j a H V 0 d G V y c y w 0 N H 0 m c X V v d D s s J n F 1 b 3 Q 7 U 2 V j d G l v b j E v S 3 J p b m d k Y W d l b i 9 B d X R v U m V t b 3 Z l Z E N v b H V t b n M x L n t M d W N o d G d l d 2 V l c i B q Z X V n Z C B u a W V 0 I G 9 1 Z G V y I G R h b i A x N y B q Y W F y L i w 0 N X 0 m c X V v d D s s J n F 1 b 3 Q 7 U 2 V j d G l v b j E v S 3 J p b m d k Y W d l b i 9 B d X R v U m V t b 3 Z l Z E N v b H V t b n M x L n t B Y W 5 0 Y W w g a 2 9 y c H N l b i w 0 N n 0 m c X V v d D s s J n F 1 b 3 Q 7 U 2 V j d G l v b j E v S 3 J p b m d k Y W d l b i 9 B d X R v U m V t b 3 Z l Z E N v b H V t b n M x L n t P c G d l Z 2 V 2 Z W 4 g a m V 1 Z 2 R r b 3 J w c 2 V u I E x H L D Q 3 f S Z x d W 9 0 O y w m c X V v d D t T Z W N 0 a W 9 u M S 9 L c m l u Z 2 R h Z 2 V u L 0 F 1 d G 9 S Z W 1 v d m V k Q 2 9 s d W 1 u c z E u e 1 R v d G F h b C B h Y W 5 0 Y W w g Z G V l b G 5 l b W V y c y w 0 O H 0 m c X V v d D s s J n F 1 b 3 Q 7 U 2 V j d G l v b j E v S 3 J p b m d k Y W d l b i 9 B d X R v U m V t b 3 Z l Z E N v b H V t b n M x L n t X Y W F y d m F u I G F h b n R h b C B q Z X V n Z C A o d C 9 t I D E 1 I G p h Y X I p L D Q 5 f S Z x d W 9 0 O y w m c X V v d D t T Z W N 0 a W 9 u M S 9 L c m l u Z 2 R h Z 2 V u L 0 F 1 d G 9 S Z W 1 v d m V k Q 2 9 s d W 1 u c z E u e 0 t h b m 9 u I G V 0 Y y 4 s N T B 9 J n F 1 b 3 Q 7 L C Z x d W 9 0 O 1 N l Y 3 R p b 2 4 x L 0 t y a W 5 n Z G F n Z W 4 v Q X V 0 b 1 J l b W 9 2 Z W R D b 2 x 1 b W 5 z M S 5 7 U G F h c m R l b i B l b i 9 v Z i B r b 2 V 0 c 2 V u L D U x f S Z x d W 9 0 O y w m c X V v d D t T Z W N 0 a W 9 u M S 9 L c m l u Z 2 R h Z 2 V u L 0 F 1 d G 9 S Z W 1 v d m V k Q 2 9 s d W 1 u c z E u e 1 R v Z W x p Y 2 h 0 a W 5 n L 2 9 w b W V y a 2 l u Z 2 V u L D U y f S Z x d W 9 0 O y w m c X V v d D t T Z W N 0 a W 9 u M S 9 L c m l u Z 2 R h Z 2 V u L 0 F 1 d G 9 S Z W 1 v d m V k Q 2 9 s d W 1 u c z E u e 0 l u e m V u Z G l u Z y 1 J R C w 1 M 3 0 m c X V v d D s s J n F 1 b 3 Q 7 U 2 V j d G l v b j E v S 3 J p b m d k Y W d l b i 9 B d X R v U m V t b 3 Z l Z E N v b H V t b n M x L n t J b n p l b m R k Y X R 1 b S w 1 N H 0 m c X V v d D s s J n F 1 b 3 Q 7 U 2 V j d G l v b j E v S 3 J p b m d k Y W d l b i 9 B d X R v U m V t b 3 Z l Z E N v b H V t b n M x L n t E Y X R l I F V w Z G F 0 Z W Q s N T V 9 J n F 1 b 3 Q 7 L C Z x d W 9 0 O 1 N l Y 3 R p b 2 4 x L 0 t y a W 5 n Z G F n Z W 4 v Q X V 0 b 1 J l b W 9 2 Z W R D b 2 x 1 b W 5 z M S 5 7 T m F h b S B 2 Y W 4 g a G V 0 I G h v b 2 Z k a 2 9 y c H M s N T Z 9 J n F 1 b 3 Q 7 L C Z x d W 9 0 O 1 N l Y 3 R p b 2 4 x L 0 t y a W 5 n Z G F n Z W 4 v Q X V 0 b 1 J l b W 9 2 Z W R D b 2 x 1 b W 5 z M S 5 7 W m F s I G 9 w I H R y Z W R l b i B h b H M g K G h v b 2 Z k a 2 9 y c H M p L D U 3 f S Z x d W 9 0 O y w m c X V v d D t T Z W N 0 a W 9 u M S 9 L c m l u Z 2 R h Z 2 V u L 0 F 1 d G 9 S Z W 1 v d m V k Q 2 9 s d W 1 u c z E u e 1 Z v c m 0 g d m F u I H R 3 Z W U g b X V 6 a W V r d 2 V y a 2 V u I C h o b 2 9 m Z G t v c n B z K S w 1 O H 0 m c X V v d D s s J n F 1 b 3 Q 7 U 2 V j d G l v b j E v S 3 J p b m d k Y W d l b i 9 B d X R v U m V t b 3 Z l Z E N v b H V t b n M x L n t a Y W w g d W l 0 a 2 9 t Z W 4 g a W 4 g Z G U 6 I C h o b 2 9 m Z G t v c n B z K S w 1 O X 0 m c X V v d D s s J n F 1 b 3 Q 7 U 2 V j d G l v b j E v S 3 J p b m d k Y W d l b i 9 B d X R v U m V t b 3 Z l Z E N v b H V t b n M x L n t N d X p p Z W t 3 Z X J r M S A o a G 9 v Z m R r b 3 J w c y k s N j B 9 J n F 1 b 3 Q 7 L C Z x d W 9 0 O 1 N l Y 3 R p b 2 4 x L 0 t y a W 5 n Z G F n Z W 4 v Q X V 0 b 1 J l b W 9 2 Z W R D b 2 x 1 b W 5 z M S 5 7 T X V 6 a W V r d 2 V y a z I g K G h v b 2 Z k a 2 9 y c H M p L D Y x f S Z x d W 9 0 O y w m c X V v d D t T Z W N 0 a W 9 u M S 9 L c m l u Z 2 R h Z 2 V u L 0 F 1 d G 9 S Z W 1 v d m V k Q 2 9 s d W 1 u c z E u e 0 t v c n B z I G J l c 3 R h Y X Q g d W l 0 I C 4 u L i B k Z W V s b m V t Z X J z I C h o b 2 9 m Z G t v c n B z K S w 2 M n 0 m c X V v d D s s J n F 1 b 3 Q 7 U 2 V j d G l v b j E v S 3 J p b m d k Y W d l b i 9 B d X R v U m V t b 3 Z l Z E N v b H V t b n M x L n t O Y W F t I H Z h b i B o Z X Q g M m U g a 2 9 y c H M s N j N 9 J n F 1 b 3 Q 7 L C Z x d W 9 0 O 1 N l Y 3 R p b 2 4 x L 0 t y a W 5 n Z G F n Z W 4 v Q X V 0 b 1 J l b W 9 2 Z W R D b 2 x 1 b W 5 z M S 5 7 W m F s I G 9 w I H R y Z W R l b i B h b H M g K D J l I G t v c n B z K S w 2 N H 0 m c X V v d D s s J n F 1 b 3 Q 7 U 2 V j d G l v b j E v S 3 J p b m d k Y W d l b i 9 B d X R v U m V t b 3 Z l Z E N v b H V t b n M x L n t W b 3 J t I H Z h b i B 0 d 2 V l I G 1 1 e m l l a 3 d l c m t l b i A o M m U g a 2 9 y c H M p L D Y 1 f S Z x d W 9 0 O y w m c X V v d D t T Z W N 0 a W 9 u M S 9 L c m l u Z 2 R h Z 2 V u L 0 F 1 d G 9 S Z W 1 v d m V k Q 2 9 s d W 1 u c z E u e 1 p h b C B 1 a X R r b 2 1 l b i B p b i B k Z T o g K D J l I G t v c n B z K S w 2 N n 0 m c X V v d D s s J n F 1 b 3 Q 7 U 2 V j d G l v b j E v S 3 J p b m d k Y W d l b i 9 B d X R v U m V t b 3 Z l Z E N v b H V t b n M x L n t N d X p p Z W t 3 Z X J r M S A o M m U g a 2 9 y c H M p L D Y 3 f S Z x d W 9 0 O y w m c X V v d D t T Z W N 0 a W 9 u M S 9 L c m l u Z 2 R h Z 2 V u L 0 F 1 d G 9 S Z W 1 v d m V k Q 2 9 s d W 1 u c z E u e 0 1 1 e m l l a 3 d l c m s y I C g y Z S B r b 3 J w c y k s N j h 9 J n F 1 b 3 Q 7 L C Z x d W 9 0 O 1 N l Y 3 R p b 2 4 x L 0 t y a W 5 n Z G F n Z W 4 v Q X V 0 b 1 J l b W 9 2 Z W R D b 2 x 1 b W 5 z M S 5 7 S 2 9 y c H M g Y m V z d G F h d C B 1 a X Q g L i 4 u I G R l Z W x u Z W 1 l c n M g K D J l I G t v c n B z K S w 2 O X 0 m c X V v d D s s J n F 1 b 3 Q 7 U 2 V j d G l v b j E v S 3 J p b m d k Y W d l b i 9 B d X R v U m V t b 3 Z l Z E N v b H V t b n M x L n t N Z W N o Y W 5 p c 2 N o Z S B t d X p p Z W s s N z B 9 J n F 1 b 3 Q 7 L C Z x d W 9 0 O 1 N l Y 3 R p b 2 4 x L 0 t y a W 5 n Z G F n Z W 4 v Q X V 0 b 1 J l b W 9 2 Z W R D b 2 x 1 b W 5 z M S 5 7 T 2 5 k Z X J k Z W x l b i w 3 M X 0 m c X V v d D s s J n F 1 b 3 Q 7 U 2 V j d G l v b j E v S 3 J p b m d k Y W d l b i 9 B d X R v U m V t b 3 Z l Z E N v b H V t b n M x L n t T Z W N 0 a W V z L D c y f S Z x d W 9 0 O y w m c X V v d D t T Z W N 0 a W 9 u M S 9 L c m l u Z 2 R h Z 2 V u L 0 F 1 d G 9 S Z W 1 v d m V k Q 2 9 s d W 1 u c z E u e 0 x l Z W Z 0 a W p k c 2 N h d G V n b 3 J p Z S w 3 M 3 0 m c X V v d D s s J n F 1 b 3 Q 7 U 2 V j d G l v b j E v S 3 J p b m d k Y W d l b i 9 B d X R v U m V t b 3 Z l Z E N v b H V t b n M x L n t B Y W 5 0 Y W w g b 3 B n Z W d l d m V u I G 1 h a m 9 y Z X R 0 Z X M s N z R 9 J n F 1 b 3 Q 7 L C Z x d W 9 0 O 1 N l Y 3 R p b 2 4 x L 0 t y a W 5 n Z G F n Z W 4 v Q X V 0 b 1 J l b W 9 2 Z W R D b 2 x 1 b W 5 z M S 5 7 Q 2 9 s d W 1 u M S w 3 N X 0 m c X V v d D s s J n F 1 b 3 Q 7 U 2 V j d G l v b j E v S 3 J p b m d k Y W d l b i 9 B d X R v U m V t b 3 Z l Z E N v b H V t b n M x L n t f M z M y L D c 2 f S Z x d W 9 0 O 1 0 s J n F 1 b 3 Q 7 Q 2 9 s d W 1 u Q 2 9 1 b n Q m c X V v d D s 6 N z c s J n F 1 b 3 Q 7 S 2 V 5 Q 2 9 s d W 1 u T m F t Z X M m c X V v d D s 6 W 1 0 s J n F 1 b 3 Q 7 Q 2 9 s d W 1 u S W R l b n R p d G l l c y Z x d W 9 0 O z p b J n F 1 b 3 Q 7 U 2 V j d G l v b j E v S 3 J p b m d k Y W d l b i 9 B d X R v U m V t b 3 Z l Z E N v b H V t b n M x L n t L c m l u Z 2 R h Z y w w f S Z x d W 9 0 O y w m c X V v d D t T Z W N 0 a W 9 u M S 9 L c m l u Z 2 R h Z 2 V u L 0 F 1 d G 9 S Z W 1 v d m V k Q 2 9 s d W 1 u c z E u e 1 Z l c i 5 u c i w x f S Z x d W 9 0 O y w m c X V v d D t T Z W N 0 a W 9 u M S 9 L c m l u Z 2 R h Z 2 V u L 0 F 1 d G 9 S Z W 1 v d m V k Q 2 9 s d W 1 u c z E u e 0 5 h Y W 0 g d m V y Z W 5 p Z 2 l u Z y w y f S Z x d W 9 0 O y w m c X V v d D t T Z W N 0 a W 9 u M S 9 L c m l u Z 2 R h Z 2 V u L 0 F 1 d G 9 S Z W 1 v d m V k Q 2 9 s d W 1 u c z E u e 0 R l b G V n Y X R p Z S w z f S Z x d W 9 0 O y w m c X V v d D t T Z W N 0 a W 9 u M S 9 L c m l u Z 2 R h Z 2 V u L 0 F 1 d G 9 S Z W 1 v d m V k Q 2 9 s d W 1 u c z E u e 0 1 1 e m l l a 2 t v c n B z I G J p a i B t Y X J z I G V u I G R l Z m l s X H U w M E U 5 L D R 9 J n F 1 b 3 Q 7 L C Z x d W 9 0 O 1 N l Y 3 R p b 2 4 x L 0 t y a W 5 n Z G F n Z W 4 v Q X V 0 b 1 J l b W 9 2 Z W R D b 2 x 1 b W 5 z M S 5 7 R G V l b G 4 u I G p l d W d k a 2 9 u a W 5 n c 2 N o a W V 0 Z W 4 s N X 0 m c X V v d D s s J n F 1 b 3 Q 7 U 2 V j d G l v b j E v S 3 J p b m d k Y W d l b i 9 B d X R v U m V t b 3 Z l Z E N v b H V t b n M x L n t N Y W o u I F N l b m l v c m V u I G p 1 c m V y Z W 4 g Y m l q I G 1 h c n M s N n 0 m c X V v d D s s J n F 1 b 3 Q 7 U 2 V j d G l v b j E v S 3 J p b m d k Y W d l b i 9 B d X R v U m V t b 3 Z l Z E N v b H V t b n M x L n t N Y W o u I E p l d W d k I G p 1 c m V y Z W 4 g Y m l q I G 1 h c n M s N 3 0 m c X V v d D s s J n F 1 b 3 Q 7 U 2 V j d G l v b j E v S 3 J p b m d k Y W d l b i 9 B d X R v U m V t b 3 Z l Z E N v b H V t b n M x L n t L b 3 J w c y B z Z W 5 p b 3 J l b i w 4 f S Z x d W 9 0 O y w m c X V v d D t T Z W N 0 a W 9 u M S 9 L c m l u Z 2 R h Z 2 V u L 0 F 1 d G 9 S Z W 1 v d m V k Q 2 9 s d W 1 u c z E u e 0 p 1 b m l v c m V u I G t v c n B z I D E s O X 0 m c X V v d D s s J n F 1 b 3 Q 7 U 2 V j d G l v b j E v S 3 J p b m d k Y W d l b i 9 B d X R v U m V t b 3 Z l Z E N v b H V t b n M x L n t K d W 5 p b 3 J l b i B r b 3 J w c y A y L D E w f S Z x d W 9 0 O y w m c X V v d D t T Z W N 0 a W 9 u M S 9 L c m l u Z 2 R h Z 2 V u L 0 F 1 d G 9 S Z W 1 v d m V k Q 2 9 s d W 1 u c z E u e 0 F z c G l y Y W 5 0 Z W 4 g a 2 9 y c H M g M S w x M X 0 m c X V v d D s s J n F 1 b 3 Q 7 U 2 V j d G l v b j E v S 3 J p b m d k Y W d l b i 9 B d X R v U m V t b 3 Z l Z E N v b H V t b n M x L n t B c 3 B p c m F u d G V u I G t v c n B z I D I s M T J 9 J n F 1 b 3 Q 7 L C Z x d W 9 0 O 1 N l Y 3 R p b 2 4 x L 0 t y a W 5 n Z G F n Z W 4 v Q X V 0 b 1 J l b W 9 2 Z W R D b 2 x 1 b W 5 z M S 5 7 Q W N y b 2 J h d G l z Y 2 g g c 2 V u a W 9 y Z W 4 s M T N 9 J n F 1 b 3 Q 7 L C Z x d W 9 0 O 1 N l Y 3 R p b 2 4 x L 0 t y a W 5 n Z G F n Z W 4 v Q X V 0 b 1 J l b W 9 2 Z W R D b 2 x 1 b W 5 z M S 5 7 Q W N y b 2 J h d G l z Y 2 g g a n V u a W 9 y Z W 4 s M T R 9 J n F 1 b 3 Q 7 L C Z x d W 9 0 O 1 N l Y 3 R p b 2 4 x L 0 t y a W 5 n Z G F n Z W 4 v Q X V 0 b 1 J l b W 9 2 Z W R D b 2 x 1 b W 5 z M S 5 7 Q W N y b 2 J h d G l z Y 2 g g Y X N w a X J h b n R l b i w x N X 0 m c X V v d D s s J n F 1 b 3 Q 7 U 2 V j d G l v b j E v S 3 J p b m d k Y W d l b i 9 B d X R v U m V t b 3 Z l Z E N v b H V t b n M x L n t T a G 9 3 I H N l b m l v c m V u L D E 2 f S Z x d W 9 0 O y w m c X V v d D t T Z W N 0 a W 9 u M S 9 L c m l u Z 2 R h Z 2 V u L 0 F 1 d G 9 S Z W 1 v d m V k Q 2 9 s d W 1 u c z E u e 1 N o b 3 c g a n V u a W 9 y Z W 4 s M T d 9 J n F 1 b 3 Q 7 L C Z x d W 9 0 O 1 N l Y 3 R p b 2 4 x L 0 t y a W 5 n Z G F n Z W 4 v Q X V 0 b 1 J l b W 9 2 Z W R D b 2 x 1 b W 5 z M S 5 7 U 2 h v d y B h c 3 B p c m F u d G V u L D E 4 f S Z x d W 9 0 O y w m c X V v d D t T Z W N 0 a W 9 u M S 9 L c m l u Z 2 R h Z 2 V u L 0 F 1 d G 9 S Z W 1 v d m V k Q 2 9 s d W 1 u c z E u e 1 N l b m l v c m V u I G l u Z G l 2 L i w x O X 0 m c X V v d D s s J n F 1 b 3 Q 7 U 2 V j d G l v b j E v S 3 J p b m d k Y W d l b i 9 B d X R v U m V t b 3 Z l Z E N v b H V t b n M x L n t K d W 5 p b 3 J l b i B p b m R p d i 4 s M j B 9 J n F 1 b 3 Q 7 L C Z x d W 9 0 O 1 N l Y 3 R p b 2 4 x L 0 t y a W 5 n Z G F n Z W 4 v Q X V 0 b 1 J l b W 9 2 Z W R D b 2 x 1 b W 5 z M S 5 7 Q X N w a X J h b n R l b i B p b m R p d i 4 s M j F 9 J n F 1 b 3 Q 7 L C Z x d W 9 0 O 1 N l Y 3 R p b 2 4 x L 0 t y a W 5 n Z G F n Z W 4 v Q X V 0 b 1 J l b W 9 2 Z W R D b 2 x 1 b W 5 z M S 5 7 U 2 V u L i B p b m Q g b 3 B n Z W d l d m V u I G 5 h b W V u L D I y f S Z x d W 9 0 O y w m c X V v d D t T Z W N 0 a W 9 u M S 9 L c m l u Z 2 R h Z 2 V u L 0 F 1 d G 9 S Z W 1 v d m V k Q 2 9 s d W 1 u c z E u e 0 p 1 b i 4 g a W 5 k I G 9 w Z 2 V n Z X Z l b i B u Y W 1 l b i w y M 3 0 m c X V v d D s s J n F 1 b 3 Q 7 U 2 V j d G l v b j E v S 3 J p b m d k Y W d l b i 9 B d X R v U m V t b 3 Z l Z E N v b H V t b n M x L n t B c 3 A u I G l u Z C B v c G d l Z 2 V 2 Z W 4 g b m F t Z W 4 s M j R 9 J n F 1 b 3 Q 7 L C Z x d W 9 0 O 1 N l Y 3 R p b 2 4 x L 0 t y a W 5 n Z G F n Z W 4 v Q X V 0 b 1 J l b W 9 2 Z W R D b 2 x 1 b W 5 z M S 5 7 S G 9 v Z m R r b 3 J w c y w y N X 0 m c X V v d D s s J n F 1 b 3 Q 7 U 2 V j d G l v b j E v S 3 J p b m d k Y W d l b i 9 B d X R v U m V t b 3 Z l Z E N v b H V t b n M x L n s y Z S B r b 3 J w c y w y N n 0 m c X V v d D s s J n F 1 b 3 Q 7 U 2 V j d G l v b j E v S 3 J p b m d k Y W d l b i 9 B d X R v U m V t b 3 Z l Z E N v b H V t b n M x L n t H c m 9 l c G V u L C B 0 Z W F t c y w g Z W 5 z Z W 1 i b G V z I G V u I G R 1 b 1 x 1 M D A y N 3 M s M j d 9 J n F 1 b 3 Q 7 L C Z x d W 9 0 O 1 N l Y 3 R p b 2 4 x L 0 t y a W 5 n Z G F n Z W 4 v Q X V 0 b 1 J l b W 9 2 Z W R D b 2 x 1 b W 5 z M S 5 7 U 2 V u a W 9 y Z W 4 s M j h 9 J n F 1 b 3 Q 7 L C Z x d W 9 0 O 1 N l Y 3 R p b 2 4 x L 0 t y a W 5 n Z G F n Z W 4 v Q X V 0 b 1 J l b W 9 2 Z W R D b 2 x 1 b W 5 z M S 5 7 S m 9 u Z y B 2 b 2 x 3 Y X N z Z W 5 l L D I 5 f S Z x d W 9 0 O y w m c X V v d D t T Z W N 0 a W 9 u M S 9 L c m l u Z 2 R h Z 2 V u L 0 F 1 d G 9 S Z W 1 v d m V k Q 2 9 s d W 1 u c z E u e 0 p 1 b m l v c m V u L D M w f S Z x d W 9 0 O y w m c X V v d D t T Z W N 0 a W 9 u M S 9 L c m l u Z 2 R h Z 2 V u L 0 F 1 d G 9 S Z W 1 v d m V k Q 2 9 s d W 1 u c z E u e 0 F z c G l y Y W 5 0 Z W 4 s M z F 9 J n F 1 b 3 Q 7 L C Z x d W 9 0 O 1 N l Y 3 R p b 2 4 x L 0 t y a W 5 n Z G F n Z W 4 v Q X V 0 b 1 J l b W 9 2 Z W R D b 2 x 1 b W 5 z M S 5 7 T 3 B n Z W d l d m V u I H N l b m l v c m V u L D M y f S Z x d W 9 0 O y w m c X V v d D t T Z W N 0 a W 9 u M S 9 L c m l u Z 2 R h Z 2 V u L 0 F 1 d G 9 S Z W 1 v d m V k Q 2 9 s d W 1 u c z E u e 0 9 w Z 2 V n Z X Z l b i B q b 2 5 n I H Z v b H d h c 3 N l b m U s M z N 9 J n F 1 b 3 Q 7 L C Z x d W 9 0 O 1 N l Y 3 R p b 2 4 x L 0 t y a W 5 n Z G F n Z W 4 v Q X V 0 b 1 J l b W 9 2 Z W R D b 2 x 1 b W 5 z M S 5 7 T 3 B n Z W d l d m V u I G p 1 b m l v c m V u L D M 0 f S Z x d W 9 0 O y w m c X V v d D t T Z W N 0 a W 9 u M S 9 L c m l u Z 2 R h Z 2 V u L 0 F 1 d G 9 S Z W 1 v d m V k Q 2 9 s d W 1 u c z E u e 0 9 w Z 2 V n Z X Z l b i B h c 3 B p c m F u d G V u L D M 1 f S Z x d W 9 0 O y w m c X V v d D t T Z W N 0 a W 9 u M S 9 L c m l u Z 2 R h Z 2 V u L 0 F 1 d G 9 S Z W 1 v d m V k Q 2 9 s d W 1 u c z E u e 0 1 h c m t l d G V u d H N 0 Z X J z L D M 2 f S Z x d W 9 0 O y w m c X V v d D t T Z W N 0 a W 9 u M S 9 L c m l u Z 2 R h Z 2 V u L 0 F 1 d G 9 S Z W 1 v d m V k Q 2 9 s d W 1 u c z E u e 0 x 1 Y 2 h 0 Z 2 V 3 Z W V y L D M 3 f S Z x d W 9 0 O y w m c X V v d D t T Z W N 0 a W 9 u M S 9 L c m l u Z 2 R h Z 2 V u L 0 F 1 d G 9 S Z W 1 v d m V k Q 2 9 s d W 1 u c z E u e 0 F h b n R h b C B s d W N o d G d l d 2 V l c n N j a H V 0 d G V y c y w z O H 0 m c X V v d D s s J n F 1 b 3 Q 7 U 2 V j d G l v b j E v S 3 J p b m d k Y W d l b i 9 B d X R v U m V t b 3 Z l Z E N v b H V t b n M x L n t M d W N o d H B p c 3 R v b 2 w s M z l 9 J n F 1 b 3 Q 7 L C Z x d W 9 0 O 1 N l Y 3 R p b 2 4 x L 0 t y a W 5 n Z G F n Z W 4 v Q X V 0 b 1 J l b W 9 2 Z W R D b 2 x 1 b W 5 z M S 5 7 Q W F u d G F s I G x 1 Y 2 h 0 c G l z d G 9 v b H N j a H V 0 d G V y c y w 0 M H 0 m c X V v d D s s J n F 1 b 3 Q 7 U 2 V j d G l v b j E v S 3 J p b m d k Y W d l b i 9 B d X R v U m V t b 3 Z l Z E N v b H V t b n M x L n t I Y W 5 k Y m 9 v Z y w 0 M X 0 m c X V v d D s s J n F 1 b 3 Q 7 U 2 V j d G l v b j E v S 3 J p b m d k Y W d l b i 9 B d X R v U m V t b 3 Z l Z E N v b H V t b n M x L n t B Y W 5 0 Y W w g a G F u Z G J v b 2 d z Y 2 h 1 d H R l c n M s N D J 9 J n F 1 b 3 Q 7 L C Z x d W 9 0 O 1 N l Y 3 R p b 2 4 x L 0 t y a W 5 n Z G F n Z W 4 v Q X V 0 b 1 J l b W 9 2 Z W R D b 2 x 1 b W 5 z M S 5 7 S 3 J 1 a X N i b 2 9 n L D Q z f S Z x d W 9 0 O y w m c X V v d D t T Z W N 0 a W 9 u M S 9 L c m l u Z 2 R h Z 2 V u L 0 F 1 d G 9 S Z W 1 v d m V k Q 2 9 s d W 1 u c z E u e 0 F h b n R h b C B r c n V p c 2 J v b 2 d z Y 2 h 1 d H R l c n M s N D R 9 J n F 1 b 3 Q 7 L C Z x d W 9 0 O 1 N l Y 3 R p b 2 4 x L 0 t y a W 5 n Z G F n Z W 4 v Q X V 0 b 1 J l b W 9 2 Z W R D b 2 x 1 b W 5 z M S 5 7 T H V j a H R n Z X d l Z X I g a m V 1 Z 2 Q g b m l l d C B v d W R l c i B k Y W 4 g M T c g a m F h c i 4 s N D V 9 J n F 1 b 3 Q 7 L C Z x d W 9 0 O 1 N l Y 3 R p b 2 4 x L 0 t y a W 5 n Z G F n Z W 4 v Q X V 0 b 1 J l b W 9 2 Z W R D b 2 x 1 b W 5 z M S 5 7 Q W F u d G F s I G t v c n B z Z W 4 s N D Z 9 J n F 1 b 3 Q 7 L C Z x d W 9 0 O 1 N l Y 3 R p b 2 4 x L 0 t y a W 5 n Z G F n Z W 4 v Q X V 0 b 1 J l b W 9 2 Z W R D b 2 x 1 b W 5 z M S 5 7 T 3 B n Z W d l d m V u I G p l d W d k a 2 9 y c H N l b i B M R y w 0 N 3 0 m c X V v d D s s J n F 1 b 3 Q 7 U 2 V j d G l v b j E v S 3 J p b m d k Y W d l b i 9 B d X R v U m V t b 3 Z l Z E N v b H V t b n M x L n t U b 3 R h Y W w g Y W F u d G F s I G R l Z W x u Z W 1 l c n M s N D h 9 J n F 1 b 3 Q 7 L C Z x d W 9 0 O 1 N l Y 3 R p b 2 4 x L 0 t y a W 5 n Z G F n Z W 4 v Q X V 0 b 1 J l b W 9 2 Z W R D b 2 x 1 b W 5 z M S 5 7 V 2 F h c n Z h b i B h Y W 5 0 Y W w g a m V 1 Z 2 Q g K H Q v b S A x N S B q Y W F y K S w 0 O X 0 m c X V v d D s s J n F 1 b 3 Q 7 U 2 V j d G l v b j E v S 3 J p b m d k Y W d l b i 9 B d X R v U m V t b 3 Z l Z E N v b H V t b n M x L n t L Y W 5 v b i B l d G M u L D U w f S Z x d W 9 0 O y w m c X V v d D t T Z W N 0 a W 9 u M S 9 L c m l u Z 2 R h Z 2 V u L 0 F 1 d G 9 S Z W 1 v d m V k Q 2 9 s d W 1 u c z E u e 1 B h Y X J k Z W 4 g Z W 4 v b 2 Y g a 2 9 l d H N l b i w 1 M X 0 m c X V v d D s s J n F 1 b 3 Q 7 U 2 V j d G l v b j E v S 3 J p b m d k Y W d l b i 9 B d X R v U m V t b 3 Z l Z E N v b H V t b n M x L n t U b 2 V s a W N o d G l u Z y 9 v c G 1 l c m t p b m d l b i w 1 M n 0 m c X V v d D s s J n F 1 b 3 Q 7 U 2 V j d G l v b j E v S 3 J p b m d k Y W d l b i 9 B d X R v U m V t b 3 Z l Z E N v b H V t b n M x L n t J b n p l b m R p b m c t S U Q s N T N 9 J n F 1 b 3 Q 7 L C Z x d W 9 0 O 1 N l Y 3 R p b 2 4 x L 0 t y a W 5 n Z G F n Z W 4 v Q X V 0 b 1 J l b W 9 2 Z W R D b 2 x 1 b W 5 z M S 5 7 S W 5 6 Z W 5 k Z G F 0 d W 0 s N T R 9 J n F 1 b 3 Q 7 L C Z x d W 9 0 O 1 N l Y 3 R p b 2 4 x L 0 t y a W 5 n Z G F n Z W 4 v Q X V 0 b 1 J l b W 9 2 Z W R D b 2 x 1 b W 5 z M S 5 7 R G F 0 Z S B V c G R h d G V k L D U 1 f S Z x d W 9 0 O y w m c X V v d D t T Z W N 0 a W 9 u M S 9 L c m l u Z 2 R h Z 2 V u L 0 F 1 d G 9 S Z W 1 v d m V k Q 2 9 s d W 1 u c z E u e 0 5 h Y W 0 g d m F u I G h l d C B o b 2 9 m Z G t v c n B z L D U 2 f S Z x d W 9 0 O y w m c X V v d D t T Z W N 0 a W 9 u M S 9 L c m l u Z 2 R h Z 2 V u L 0 F 1 d G 9 S Z W 1 v d m V k Q 2 9 s d W 1 u c z E u e 1 p h b C B v c C B 0 c m V k Z W 4 g Y W x z I C h o b 2 9 m Z G t v c n B z K S w 1 N 3 0 m c X V v d D s s J n F 1 b 3 Q 7 U 2 V j d G l v b j E v S 3 J p b m d k Y W d l b i 9 B d X R v U m V t b 3 Z l Z E N v b H V t b n M x L n t W b 3 J t I H Z h b i B 0 d 2 V l I G 1 1 e m l l a 3 d l c m t l b i A o a G 9 v Z m R r b 3 J w c y k s N T h 9 J n F 1 b 3 Q 7 L C Z x d W 9 0 O 1 N l Y 3 R p b 2 4 x L 0 t y a W 5 n Z G F n Z W 4 v Q X V 0 b 1 J l b W 9 2 Z W R D b 2 x 1 b W 5 z M S 5 7 W m F s I H V p d G t v b W V u I G l u I G R l O i A o a G 9 v Z m R r b 3 J w c y k s N T l 9 J n F 1 b 3 Q 7 L C Z x d W 9 0 O 1 N l Y 3 R p b 2 4 x L 0 t y a W 5 n Z G F n Z W 4 v Q X V 0 b 1 J l b W 9 2 Z W R D b 2 x 1 b W 5 z M S 5 7 T X V 6 a W V r d 2 V y a z E g K G h v b 2 Z k a 2 9 y c H M p L D Y w f S Z x d W 9 0 O y w m c X V v d D t T Z W N 0 a W 9 u M S 9 L c m l u Z 2 R h Z 2 V u L 0 F 1 d G 9 S Z W 1 v d m V k Q 2 9 s d W 1 u c z E u e 0 1 1 e m l l a 3 d l c m s y I C h o b 2 9 m Z G t v c n B z K S w 2 M X 0 m c X V v d D s s J n F 1 b 3 Q 7 U 2 V j d G l v b j E v S 3 J p b m d k Y W d l b i 9 B d X R v U m V t b 3 Z l Z E N v b H V t b n M x L n t L b 3 J w c y B i Z X N 0 Y W F 0 I H V p d C A u L i 4 g Z G V l b G 5 l b W V y c y A o a G 9 v Z m R r b 3 J w c y k s N j J 9 J n F 1 b 3 Q 7 L C Z x d W 9 0 O 1 N l Y 3 R p b 2 4 x L 0 t y a W 5 n Z G F n Z W 4 v Q X V 0 b 1 J l b W 9 2 Z W R D b 2 x 1 b W 5 z M S 5 7 T m F h b S B 2 Y W 4 g a G V 0 I D J l I G t v c n B z L D Y z f S Z x d W 9 0 O y w m c X V v d D t T Z W N 0 a W 9 u M S 9 L c m l u Z 2 R h Z 2 V u L 0 F 1 d G 9 S Z W 1 v d m V k Q 2 9 s d W 1 u c z E u e 1 p h b C B v c C B 0 c m V k Z W 4 g Y W x z I C g y Z S B r b 3 J w c y k s N j R 9 J n F 1 b 3 Q 7 L C Z x d W 9 0 O 1 N l Y 3 R p b 2 4 x L 0 t y a W 5 n Z G F n Z W 4 v Q X V 0 b 1 J l b W 9 2 Z W R D b 2 x 1 b W 5 z M S 5 7 V m 9 y b S B 2 Y W 4 g d H d l Z S B t d X p p Z W t 3 Z X J r Z W 4 g K D J l I G t v c n B z K S w 2 N X 0 m c X V v d D s s J n F 1 b 3 Q 7 U 2 V j d G l v b j E v S 3 J p b m d k Y W d l b i 9 B d X R v U m V t b 3 Z l Z E N v b H V t b n M x L n t a Y W w g d W l 0 a 2 9 t Z W 4 g a W 4 g Z G U 6 I C g y Z S B r b 3 J w c y k s N j Z 9 J n F 1 b 3 Q 7 L C Z x d W 9 0 O 1 N l Y 3 R p b 2 4 x L 0 t y a W 5 n Z G F n Z W 4 v Q X V 0 b 1 J l b W 9 2 Z W R D b 2 x 1 b W 5 z M S 5 7 T X V 6 a W V r d 2 V y a z E g K D J l I G t v c n B z K S w 2 N 3 0 m c X V v d D s s J n F 1 b 3 Q 7 U 2 V j d G l v b j E v S 3 J p b m d k Y W d l b i 9 B d X R v U m V t b 3 Z l Z E N v b H V t b n M x L n t N d X p p Z W t 3 Z X J r M i A o M m U g a 2 9 y c H M p L D Y 4 f S Z x d W 9 0 O y w m c X V v d D t T Z W N 0 a W 9 u M S 9 L c m l u Z 2 R h Z 2 V u L 0 F 1 d G 9 S Z W 1 v d m V k Q 2 9 s d W 1 u c z E u e 0 t v c n B z I G J l c 3 R h Y X Q g d W l 0 I C 4 u L i B k Z W V s b m V t Z X J z I C g y Z S B r b 3 J w c y k s N j l 9 J n F 1 b 3 Q 7 L C Z x d W 9 0 O 1 N l Y 3 R p b 2 4 x L 0 t y a W 5 n Z G F n Z W 4 v Q X V 0 b 1 J l b W 9 2 Z W R D b 2 x 1 b W 5 z M S 5 7 T W V j a G F u a X N j a G U g b X V 6 a W V r L D c w f S Z x d W 9 0 O y w m c X V v d D t T Z W N 0 a W 9 u M S 9 L c m l u Z 2 R h Z 2 V u L 0 F 1 d G 9 S Z W 1 v d m V k Q 2 9 s d W 1 u c z E u e 0 9 u Z G V y Z G V s Z W 4 s N z F 9 J n F 1 b 3 Q 7 L C Z x d W 9 0 O 1 N l Y 3 R p b 2 4 x L 0 t y a W 5 n Z G F n Z W 4 v Q X V 0 b 1 J l b W 9 2 Z W R D b 2 x 1 b W 5 z M S 5 7 U 2 V j d G l l c y w 3 M n 0 m c X V v d D s s J n F 1 b 3 Q 7 U 2 V j d G l v b j E v S 3 J p b m d k Y W d l b i 9 B d X R v U m V t b 3 Z l Z E N v b H V t b n M x L n t M Z W V m d G l q Z H N j Y X R l Z 2 9 y a W U s N z N 9 J n F 1 b 3 Q 7 L C Z x d W 9 0 O 1 N l Y 3 R p b 2 4 x L 0 t y a W 5 n Z G F n Z W 4 v Q X V 0 b 1 J l b W 9 2 Z W R D b 2 x 1 b W 5 z M S 5 7 Q W F u d G F s I G 9 w Z 2 V n Z X Z l b i B t Y W p v c m V 0 d G V z L D c 0 f S Z x d W 9 0 O y w m c X V v d D t T Z W N 0 a W 9 u M S 9 L c m l u Z 2 R h Z 2 V u L 0 F 1 d G 9 S Z W 1 v d m V k Q 2 9 s d W 1 u c z E u e 0 N v b H V t b j E s N z V 9 J n F 1 b 3 Q 7 L C Z x d W 9 0 O 1 N l Y 3 R p b 2 4 x L 0 t y a W 5 n Z G F n Z W 4 v Q X V 0 b 1 J l b W 9 2 Z W R D b 2 x 1 b W 5 z M S 5 7 X z M z M i w 3 N n 0 m c X V v d D t d L C Z x d W 9 0 O 1 J l b G F 0 a W 9 u c 2 h p c E l u Z m 8 m c X V v d D s 6 W 1 1 9 I i A v P j w v U 3 R h Y m x l R W 5 0 c m l l c z 4 8 L 0 l 0 Z W 0 + P E l 0 Z W 0 + P E l 0 Z W 1 M b 2 N h d G l v b j 4 8 S X R l b V R 5 c G U + R m 9 y b X V s Y T w v S X R l b V R 5 c G U + P E l 0 Z W 1 Q Y X R o P l N l Y 3 R p b 2 4 x L 0 d L V k k 8 L 0 l 0 Z W 1 Q Y X R o P j w v S X R l b U x v Y 2 F 0 a W 9 u P j x T d G F i b G V F b n R y a W V z P j x F b n R y e S B U e X B l P S J C d W Z m Z X J O Z X h 0 U m V m c m V z a C I g V m F s d W U 9 I m w x I i A v P j x F b n R y e S B U e X B l P S J G a W x s R W 5 h Y m x l Z C I g V m F s d W U 9 I m w x I i A v P j x F b n R y e S B U e X B l P S J G a W x s Z W R D b 2 1 w b G V 0 Z V J l c 3 V s d F R v V 2 9 y a 3 N o Z W V 0 I i B W Y W x 1 Z T 0 i b D E i I C 8 + P E V u d H J 5 I F R 5 c G U 9 I k Z p b G x U b 0 R h d G F N b 2 R l b E V u Y W J s Z W Q i I F Z h b H V l P S J s M C I g L z 4 8 R W 5 0 c n k g V H l w Z T 0 i S X N Q c m l 2 Y X R l I i B W Y W x 1 Z T 0 i b D A i I C 8 + P E V u d H J 5 I F R 5 c G U 9 I l F 1 Z X J 5 S U Q i I F Z h b H V l P S J z M T Q 0 Y W Z l N 2 E t Y j Z l N y 0 0 M T M y L T l m Y j g t M T Q 5 Z j Q y Y T R j M m I y I i A v P j x F b n R y e S B U e X B l P S J S Z X N 1 b H R U e X B l I i B W Y W x 1 Z T 0 i c 1 R h Y m x l I i A v P j x F b n R y e S B U e X B l P S J O Y X Z p Z 2 F 0 a W 9 u U 3 R l c E 5 h b W U i I F Z h b H V l P S J z T m F 2 a W d h d G l l I i A v P j x F b n R y e S B U e X B l P S J G a W x s T 2 J q Z W N 0 V H l w Z S I g V m F s d W U 9 I n N U Y W J s Z S I g L z 4 8 R W 5 0 c n k g V H l w Z T 0 i T m F t Z V V w Z G F 0 Z W R B Z n R l c k Z p b G w i I F Z h b H V l P S J s M C I g L z 4 8 R W 5 0 c n k g V H l w Z T 0 i R m l s b F R h c m d l d C I g V m F s d W U 9 I n N H S 1 Z J I i A v P j x F b n R y e S B U e X B l P S J M b 2 F k V G 9 S Z X B v c n R E a X N h Y m x l Z C I g V m F s d W U 9 I m w w I i A v P j x F b n R y e S B U e X B l P S J G a W x s T G F z d F V w Z G F 0 Z W Q i I F Z h b H V l P S J k M j A y N C 0 x M i 0 z M V Q x N z o w O T o 0 M i 4 4 M T k 5 M z E w W i I g L z 4 8 R W 5 0 c n k g V H l w Z T 0 i R m l s b E V y c m 9 y Q 2 9 1 b n Q i I F Z h b H V l P S J s M C I g L z 4 8 R W 5 0 c n k g V H l w Z T 0 i R m l s b E N v b H V t b l R 5 c G V z I i B W Y W x 1 Z T 0 i c 0 F 3 Y 0 d C Z 1 l E Q X d N R E F 3 T U R B d 0 1 E Q X d N R E F 3 T U R C Z 2 M 9 I i A v P j x F b n R y e S B U e X B l P S J G a W x s R X J y b 3 J D b 2 R l I i B W Y W x 1 Z T 0 i c 1 V u a 2 5 v d 2 4 i I C 8 + P E V u d H J 5 I F R 5 c G U 9 I k Z p b G x D b 2 x 1 b W 5 O Y W 1 l c y I g V m F s d W U 9 I n N b J n F 1 b 3 Q 7 S W 5 6 Z W 5 k a W 5 n L U l E J n F 1 b 3 Q 7 L C Z x d W 9 0 O 0 l u e m V u Z G R h d H V t J n F 1 b 3 Q 7 L C Z x d W 9 0 O 0 d L V k k m c X V v d D s s J n F 1 b 3 Q 7 V m V y L m 5 y L i Z x d W 9 0 O y w m c X V v d D t O Y W F t I H Z l c m V u a W d p b m c m c X V v d D s s J n F 1 b 3 Q 7 S 2 9 y c H M g a 2 x h c 3 N p Z W s g c 2 V u a W 9 y Z W 4 m c X V v d D s s J n F 1 b 3 Q 7 S 2 9 y c H M g M S B r b G F z c 2 l l a y B q d W 5 p b 3 J l b i Z x d W 9 0 O y w m c X V v d D t L b 3 J w c y A y I G t s Y X N z a W V r I G p 1 b m l v c m V u J n F 1 b 3 Q 7 L C Z x d W 9 0 O 0 t v c n B z I D E g a 2 x h c 3 N p Z W s g Y X N w a X J h b n R l b i Z x d W 9 0 O y w m c X V v d D t L b 3 J w c y A y I G t s Y X N z a W V r I G F z c G l y Y W 5 0 Z W 4 m c X V v d D s s J n F 1 b 3 Q 7 S 2 9 y c H M g Y W N y b 2 I u I H N l b m l v c m V u J n F 1 b 3 Q 7 L C Z x d W 9 0 O 0 t v c n B z I G F j c m 9 i L i B q d W 5 p b 3 J l b i Z x d W 9 0 O y w m c X V v d D t L b 3 J w c y B h Y 3 J v Y i 4 g Y X N w a X J h b n R l b i Z x d W 9 0 O y w m c X V v d D t L b 3 J w c y B z a G 9 3 I H N l b m l v c m V u J n F 1 b 3 Q 7 L C Z x d W 9 0 O 0 t v c n B z I H N o b 3 c g a n V u a W 9 y Z W 4 m c X V v d D s s J n F 1 b 3 Q 7 S 2 9 y c H M g c 2 h v d y B h c 3 B p c m F u d G V u J n F 1 b 3 Q 7 L C Z x d W 9 0 O 1 N l b m l v c m V u J n F 1 b 3 Q 7 L C Z x d W 9 0 O 0 p 1 b m l v c m V u J n F 1 b 3 Q 7 L C Z x d W 9 0 O 0 F z c G l y Y W 5 0 Z W 4 m c X V v d D s s J n F 1 b 3 Q 7 Q W F u d G F s I G R l Z W x u Z W 1 l c n M m c X V v d D s s J n F 1 b 3 Q 7 S G l l c n Z h b i B p c y B h c 3 B p c m F u d C Z x d W 9 0 O y w m c X V v d D t P c G 1 l c m t p b m d l b i Z x d W 9 0 O y w m c X V v d D t E Y X R l I F V w Z G F 0 Z W Q m c X V v d D t d I i A v P j x F b n R y e S B U e X B l P S J G a W x s Q 2 9 1 b n Q i I F Z h b H V l P S J s M z I i I C 8 + P E V u d H J 5 I F R 5 c G U 9 I k Z p b G x T d G F 0 d X M i I F Z h b H V l P S J z Q 2 9 t c G x l d G U i I C 8 + P E V u d H J 5 I F R 5 c G U 9 I k F k Z G V k V G 9 E Y X R h T W 9 k Z W w i I F Z h b H V l P S J s M C I g L z 4 8 R W 5 0 c n k g V H l w Z T 0 i U m V s Y X R p b 2 5 z a G l w S W 5 m b 0 N v b n R h a W 5 l c i I g V m F s d W U 9 I n N 7 J n F 1 b 3 Q 7 Y 2 9 s d W 1 u Q 2 9 1 b n Q m c X V v d D s 6 M j M s J n F 1 b 3 Q 7 a 2 V 5 Q 2 9 s d W 1 u T m F t Z X M m c X V v d D s 6 W 1 0 s J n F 1 b 3 Q 7 c X V l c n l S Z W x h d G l v b n N o a X B z J n F 1 b 3 Q 7 O l t d L C Z x d W 9 0 O 2 N v b H V t b k l k Z W 5 0 a X R p Z X M m c X V v d D s 6 W y Z x d W 9 0 O 1 N l Y 3 R p b 2 4 x L 0 d L V k k v Q X V 0 b 1 J l b W 9 2 Z W R D b 2 x 1 b W 5 z M S 5 7 S W 5 6 Z W 5 k a W 5 n L U l E L D B 9 J n F 1 b 3 Q 7 L C Z x d W 9 0 O 1 N l Y 3 R p b 2 4 x L 0 d L V k k v Q X V 0 b 1 J l b W 9 2 Z W R D b 2 x 1 b W 5 z M S 5 7 S W 5 6 Z W 5 k Z G F 0 d W 0 s M X 0 m c X V v d D s s J n F 1 b 3 Q 7 U 2 V j d G l v b j E v R 0 t W S S 9 B d X R v U m V t b 3 Z l Z E N v b H V t b n M x L n t H S 1 Z J L D J 9 J n F 1 b 3 Q 7 L C Z x d W 9 0 O 1 N l Y 3 R p b 2 4 x L 0 d L V k k v Q X V 0 b 1 J l b W 9 2 Z W R D b 2 x 1 b W 5 z M S 5 7 V m V y L m 5 y L i w z f S Z x d W 9 0 O y w m c X V v d D t T Z W N 0 a W 9 u M S 9 H S 1 Z J L 0 F 1 d G 9 S Z W 1 v d m V k Q 2 9 s d W 1 u c z E u e 0 5 h Y W 0 g d m V y Z W 5 p Z 2 l u Z y w 0 f S Z x d W 9 0 O y w m c X V v d D t T Z W N 0 a W 9 u M S 9 H S 1 Z J L 0 F 1 d G 9 S Z W 1 v d m V k Q 2 9 s d W 1 u c z E u e 0 t v c n B z I G t s Y X N z a W V r I H N l b m l v c m V u L D V 9 J n F 1 b 3 Q 7 L C Z x d W 9 0 O 1 N l Y 3 R p b 2 4 x L 0 d L V k k v Q X V 0 b 1 J l b W 9 2 Z W R D b 2 x 1 b W 5 z M S 5 7 S 2 9 y c H M g M S B r b G F z c 2 l l a y B q d W 5 p b 3 J l b i w 2 f S Z x d W 9 0 O y w m c X V v d D t T Z W N 0 a W 9 u M S 9 H S 1 Z J L 0 F 1 d G 9 S Z W 1 v d m V k Q 2 9 s d W 1 u c z E u e 0 t v c n B z I D I g a 2 x h c 3 N p Z W s g a n V u a W 9 y Z W 4 s N 3 0 m c X V v d D s s J n F 1 b 3 Q 7 U 2 V j d G l v b j E v R 0 t W S S 9 B d X R v U m V t b 3 Z l Z E N v b H V t b n M x L n t L b 3 J w c y A x I G t s Y X N z a W V r I G F z c G l y Y W 5 0 Z W 4 s O H 0 m c X V v d D s s J n F 1 b 3 Q 7 U 2 V j d G l v b j E v R 0 t W S S 9 B d X R v U m V t b 3 Z l Z E N v b H V t b n M x L n t L b 3 J w c y A y I G t s Y X N z a W V r I G F z c G l y Y W 5 0 Z W 4 s O X 0 m c X V v d D s s J n F 1 b 3 Q 7 U 2 V j d G l v b j E v R 0 t W S S 9 B d X R v U m V t b 3 Z l Z E N v b H V t b n M x L n t L b 3 J w c y B h Y 3 J v Y i 4 g c 2 V u a W 9 y Z W 4 s M T B 9 J n F 1 b 3 Q 7 L C Z x d W 9 0 O 1 N l Y 3 R p b 2 4 x L 0 d L V k k v Q X V 0 b 1 J l b W 9 2 Z W R D b 2 x 1 b W 5 z M S 5 7 S 2 9 y c H M g Y W N y b 2 I u I G p 1 b m l v c m V u L D E x f S Z x d W 9 0 O y w m c X V v d D t T Z W N 0 a W 9 u M S 9 H S 1 Z J L 0 F 1 d G 9 S Z W 1 v d m V k Q 2 9 s d W 1 u c z E u e 0 t v c n B z I G F j c m 9 i L i B h c 3 B p c m F u d G V u L D E y f S Z x d W 9 0 O y w m c X V v d D t T Z W N 0 a W 9 u M S 9 H S 1 Z J L 0 F 1 d G 9 S Z W 1 v d m V k Q 2 9 s d W 1 u c z E u e 0 t v c n B z I H N o b 3 c g c 2 V u a W 9 y Z W 4 s M T N 9 J n F 1 b 3 Q 7 L C Z x d W 9 0 O 1 N l Y 3 R p b 2 4 x L 0 d L V k k v Q X V 0 b 1 J l b W 9 2 Z W R D b 2 x 1 b W 5 z M S 5 7 S 2 9 y c H M g c 2 h v d y B q d W 5 p b 3 J l b i w x N H 0 m c X V v d D s s J n F 1 b 3 Q 7 U 2 V j d G l v b j E v R 0 t W S S 9 B d X R v U m V t b 3 Z l Z E N v b H V t b n M x L n t L b 3 J w c y B z a G 9 3 I G F z c G l y Y W 5 0 Z W 4 s M T V 9 J n F 1 b 3 Q 7 L C Z x d W 9 0 O 1 N l Y 3 R p b 2 4 x L 0 d L V k k v Q X V 0 b 1 J l b W 9 2 Z W R D b 2 x 1 b W 5 z M S 5 7 U 2 V u a W 9 y Z W 4 s M T Z 9 J n F 1 b 3 Q 7 L C Z x d W 9 0 O 1 N l Y 3 R p b 2 4 x L 0 d L V k k v Q X V 0 b 1 J l b W 9 2 Z W R D b 2 x 1 b W 5 z M S 5 7 S n V u a W 9 y Z W 4 s M T d 9 J n F 1 b 3 Q 7 L C Z x d W 9 0 O 1 N l Y 3 R p b 2 4 x L 0 d L V k k v Q X V 0 b 1 J l b W 9 2 Z W R D b 2 x 1 b W 5 z M S 5 7 Q X N w a X J h b n R l b i w x O H 0 m c X V v d D s s J n F 1 b 3 Q 7 U 2 V j d G l v b j E v R 0 t W S S 9 B d X R v U m V t b 3 Z l Z E N v b H V t b n M x L n t B Y W 5 0 Y W w g Z G V l b G 5 l b W V y c y w x O X 0 m c X V v d D s s J n F 1 b 3 Q 7 U 2 V j d G l v b j E v R 0 t W S S 9 B d X R v U m V t b 3 Z l Z E N v b H V t b n M x L n t I a W V y d m F u I G l z I G F z c G l y Y W 5 0 L D I w f S Z x d W 9 0 O y w m c X V v d D t T Z W N 0 a W 9 u M S 9 H S 1 Z J L 0 F 1 d G 9 S Z W 1 v d m V k Q 2 9 s d W 1 u c z E u e 0 9 w b W V y a 2 l u Z 2 V u L D I x f S Z x d W 9 0 O y w m c X V v d D t T Z W N 0 a W 9 u M S 9 H S 1 Z J L 0 F 1 d G 9 S Z W 1 v d m V k Q 2 9 s d W 1 u c z E u e 0 R h d G U g V X B k Y X R l Z C w y M n 0 m c X V v d D t d L C Z x d W 9 0 O 0 N v b H V t b k N v d W 5 0 J n F 1 b 3 Q 7 O j I z L C Z x d W 9 0 O 0 t l e U N v b H V t b k 5 h b W V z J n F 1 b 3 Q 7 O l t d L C Z x d W 9 0 O 0 N v b H V t b k l k Z W 5 0 a X R p Z X M m c X V v d D s 6 W y Z x d W 9 0 O 1 N l Y 3 R p b 2 4 x L 0 d L V k k v Q X V 0 b 1 J l b W 9 2 Z W R D b 2 x 1 b W 5 z M S 5 7 S W 5 6 Z W 5 k a W 5 n L U l E L D B 9 J n F 1 b 3 Q 7 L C Z x d W 9 0 O 1 N l Y 3 R p b 2 4 x L 0 d L V k k v Q X V 0 b 1 J l b W 9 2 Z W R D b 2 x 1 b W 5 z M S 5 7 S W 5 6 Z W 5 k Z G F 0 d W 0 s M X 0 m c X V v d D s s J n F 1 b 3 Q 7 U 2 V j d G l v b j E v R 0 t W S S 9 B d X R v U m V t b 3 Z l Z E N v b H V t b n M x L n t H S 1 Z J L D J 9 J n F 1 b 3 Q 7 L C Z x d W 9 0 O 1 N l Y 3 R p b 2 4 x L 0 d L V k k v Q X V 0 b 1 J l b W 9 2 Z W R D b 2 x 1 b W 5 z M S 5 7 V m V y L m 5 y L i w z f S Z x d W 9 0 O y w m c X V v d D t T Z W N 0 a W 9 u M S 9 H S 1 Z J L 0 F 1 d G 9 S Z W 1 v d m V k Q 2 9 s d W 1 u c z E u e 0 5 h Y W 0 g d m V y Z W 5 p Z 2 l u Z y w 0 f S Z x d W 9 0 O y w m c X V v d D t T Z W N 0 a W 9 u M S 9 H S 1 Z J L 0 F 1 d G 9 S Z W 1 v d m V k Q 2 9 s d W 1 u c z E u e 0 t v c n B z I G t s Y X N z a W V r I H N l b m l v c m V u L D V 9 J n F 1 b 3 Q 7 L C Z x d W 9 0 O 1 N l Y 3 R p b 2 4 x L 0 d L V k k v Q X V 0 b 1 J l b W 9 2 Z W R D b 2 x 1 b W 5 z M S 5 7 S 2 9 y c H M g M S B r b G F z c 2 l l a y B q d W 5 p b 3 J l b i w 2 f S Z x d W 9 0 O y w m c X V v d D t T Z W N 0 a W 9 u M S 9 H S 1 Z J L 0 F 1 d G 9 S Z W 1 v d m V k Q 2 9 s d W 1 u c z E u e 0 t v c n B z I D I g a 2 x h c 3 N p Z W s g a n V u a W 9 y Z W 4 s N 3 0 m c X V v d D s s J n F 1 b 3 Q 7 U 2 V j d G l v b j E v R 0 t W S S 9 B d X R v U m V t b 3 Z l Z E N v b H V t b n M x L n t L b 3 J w c y A x I G t s Y X N z a W V r I G F z c G l y Y W 5 0 Z W 4 s O H 0 m c X V v d D s s J n F 1 b 3 Q 7 U 2 V j d G l v b j E v R 0 t W S S 9 B d X R v U m V t b 3 Z l Z E N v b H V t b n M x L n t L b 3 J w c y A y I G t s Y X N z a W V r I G F z c G l y Y W 5 0 Z W 4 s O X 0 m c X V v d D s s J n F 1 b 3 Q 7 U 2 V j d G l v b j E v R 0 t W S S 9 B d X R v U m V t b 3 Z l Z E N v b H V t b n M x L n t L b 3 J w c y B h Y 3 J v Y i 4 g c 2 V u a W 9 y Z W 4 s M T B 9 J n F 1 b 3 Q 7 L C Z x d W 9 0 O 1 N l Y 3 R p b 2 4 x L 0 d L V k k v Q X V 0 b 1 J l b W 9 2 Z W R D b 2 x 1 b W 5 z M S 5 7 S 2 9 y c H M g Y W N y b 2 I u I G p 1 b m l v c m V u L D E x f S Z x d W 9 0 O y w m c X V v d D t T Z W N 0 a W 9 u M S 9 H S 1 Z J L 0 F 1 d G 9 S Z W 1 v d m V k Q 2 9 s d W 1 u c z E u e 0 t v c n B z I G F j c m 9 i L i B h c 3 B p c m F u d G V u L D E y f S Z x d W 9 0 O y w m c X V v d D t T Z W N 0 a W 9 u M S 9 H S 1 Z J L 0 F 1 d G 9 S Z W 1 v d m V k Q 2 9 s d W 1 u c z E u e 0 t v c n B z I H N o b 3 c g c 2 V u a W 9 y Z W 4 s M T N 9 J n F 1 b 3 Q 7 L C Z x d W 9 0 O 1 N l Y 3 R p b 2 4 x L 0 d L V k k v Q X V 0 b 1 J l b W 9 2 Z W R D b 2 x 1 b W 5 z M S 5 7 S 2 9 y c H M g c 2 h v d y B q d W 5 p b 3 J l b i w x N H 0 m c X V v d D s s J n F 1 b 3 Q 7 U 2 V j d G l v b j E v R 0 t W S S 9 B d X R v U m V t b 3 Z l Z E N v b H V t b n M x L n t L b 3 J w c y B z a G 9 3 I G F z c G l y Y W 5 0 Z W 4 s M T V 9 J n F 1 b 3 Q 7 L C Z x d W 9 0 O 1 N l Y 3 R p b 2 4 x L 0 d L V k k v Q X V 0 b 1 J l b W 9 2 Z W R D b 2 x 1 b W 5 z M S 5 7 U 2 V u a W 9 y Z W 4 s M T Z 9 J n F 1 b 3 Q 7 L C Z x d W 9 0 O 1 N l Y 3 R p b 2 4 x L 0 d L V k k v Q X V 0 b 1 J l b W 9 2 Z W R D b 2 x 1 b W 5 z M S 5 7 S n V u a W 9 y Z W 4 s M T d 9 J n F 1 b 3 Q 7 L C Z x d W 9 0 O 1 N l Y 3 R p b 2 4 x L 0 d L V k k v Q X V 0 b 1 J l b W 9 2 Z W R D b 2 x 1 b W 5 z M S 5 7 Q X N w a X J h b n R l b i w x O H 0 m c X V v d D s s J n F 1 b 3 Q 7 U 2 V j d G l v b j E v R 0 t W S S 9 B d X R v U m V t b 3 Z l Z E N v b H V t b n M x L n t B Y W 5 0 Y W w g Z G V l b G 5 l b W V y c y w x O X 0 m c X V v d D s s J n F 1 b 3 Q 7 U 2 V j d G l v b j E v R 0 t W S S 9 B d X R v U m V t b 3 Z l Z E N v b H V t b n M x L n t I a W V y d m F u I G l z I G F z c G l y Y W 5 0 L D I w f S Z x d W 9 0 O y w m c X V v d D t T Z W N 0 a W 9 u M S 9 H S 1 Z J L 0 F 1 d G 9 S Z W 1 v d m V k Q 2 9 s d W 1 u c z E u e 0 9 w b W V y a 2 l u Z 2 V u L D I x f S Z x d W 9 0 O y w m c X V v d D t T Z W N 0 a W 9 u M S 9 H S 1 Z J L 0 F 1 d G 9 S Z W 1 v d m V k Q 2 9 s d W 1 u c z E u e 0 R h d G U g V X B k Y X R l Z C w y M n 0 m c X V v d D t d L C Z x d W 9 0 O 1 J l b G F 0 a W 9 u c 2 h p c E l u Z m 8 m c X V v d D s 6 W 1 1 9 I i A v P j w v U 3 R h Y m x l R W 5 0 c m l l c z 4 8 L 0 l 0 Z W 0 + P E l 0 Z W 0 + P E l 0 Z W 1 M b 2 N h d G l v b j 4 8 S X R l b V R 5 c G U + R m 9 y b X V s Y T w v S X R l b V R 5 c G U + P E l 0 Z W 1 Q Y X R o P l N l Y 3 R p b 2 4 x L 1 Z v b 3 J i Z W V s Z G J l c 3 R h b m Q 8 L 0 l 0 Z W 1 Q Y X R o P j w v S X R l b U x v Y 2 F 0 a W 9 u P j x T d G F i b G V F b n R y a W V z P j x F b n R y e S B U e X B l P S J O Y W 1 l V X B k Y X R l Z E F m d G V y R m l s b C I g V m F s d W U 9 I m w x I i A v P j x F b n R y e S B U e X B l P S J G a W x s R W 5 h Y m x l Z C I g V m F s d W U 9 I m w w I i A v P j x F b n R y e S B U e X B l P S J G a W x s Z W R D b 2 1 w b G V 0 Z V J l c 3 V s d F R v V 2 9 y a 3 N o Z W V 0 I i B W Y W x 1 Z T 0 i b D A i I C 8 + P E V u d H J 5 I F R 5 c G U 9 I k Z p b G x U b 0 R h d G F N b 2 R l b E V u Y W J s Z W Q i I F Z h b H V l P S J s M C I g L z 4 8 R W 5 0 c n k g V H l w Z T 0 i S X N Q c m l 2 Y X R l I i B W Y W x 1 Z T 0 i b D A i I C 8 + P E V u d H J 5 I F R 5 c G U 9 I l F 1 Z X J 5 R 3 J v d X B J R C I g V m F s d W U 9 I n N j N j g 0 M G I 4 Y i 0 1 Z m U 2 L T R h M z A t O D F h Y i 1 j N T g 3 Z W I 4 M j Q 3 Y T k i I C 8 + P E V u d H J 5 I F R 5 c G U 9 I l J l c 3 V s d F R 5 c G U i I F Z h b H V l P S J z R X h j Z X B 0 a W 9 u I i A v P j x F b n R y e S B U e X B l P S J G a W x s T 2 J q Z W N 0 V H l w Z S I g V m F s d W U 9 I n N D b 2 5 u Z W N 0 a W 9 u T 2 5 s e S I g L z 4 8 R W 5 0 c n k g V H l w Z T 0 i Q n V m Z m V y T m V 4 d F J l Z n J l c 2 g i I F Z h b H V l P S J s M S I g L z 4 8 R W 5 0 c n k g V H l w Z T 0 i T G 9 h Z G V k V G 9 B b m F s e X N p c 1 N l c n Z p Y 2 V z I i B W Y W x 1 Z T 0 i b D A i I C 8 + P E V u d H J 5 I F R 5 c G U 9 I k x v Y W R U b 1 J l c G 9 y d E R p c 2 F i b G V k I i B W Y W x 1 Z T 0 i b D E i I C 8 + P E V u d H J 5 I F R 5 c G U 9 I l F 1 Z X J 5 S U Q i I F Z h b H V l P S J z M T g 0 M G M y Y j I t Y W E 0 Y y 0 0 N T B m L W J h N j M t N D g w M D V j Y j A 4 O G Y z I i A v P j x F b n R y e S B U e X B l P S J G a W x s U 3 R h d H V z I i B W Y W x 1 Z T 0 i c 0 N v b X B s Z X R l I i A v P j x F b n R y e S B U e X B l P S J G a W x s T G F z d F V w Z G F 0 Z W Q i I F Z h b H V l P S J k M j A y N C 0 x M i 0 z M V Q x N z o w O T o y N i 4 0 O D M 0 N j c w W i I g L z 4 8 R W 5 0 c n k g V H l w Z T 0 i R m l s b E V y c m 9 y Q 2 9 k Z S I g V m F s d W U 9 I n N V b m t u b 3 d u I i A v P j x F b n R y e S B U e X B l P S J B Z G R l Z F R v R G F 0 Y U 1 v Z G V s I i B W Y W x 1 Z T 0 i b D A i I C 8 + P C 9 T d G F i b G V F b n R y a W V z P j w v S X R l b T 4 8 S X R l b T 4 8 S X R l b U x v Y 2 F 0 a W 9 u P j x J d G V t V H l w Z T 5 G b 3 J t d W x h P C 9 J d G V t V H l w Z T 4 8 S X R l b V B h d G g + U 2 V j d G l v b j E v U G F y Y W 1 l d G V y M T w v S X R l b V B h d G g + P C 9 J d G V t T G 9 j Y X R p b 2 4 + P F N 0 Y W J s Z U V u d H J p Z X M + P E V u d H J 5 I F R 5 c G U 9 I k F k Z G V k V G 9 E Y X R h T W 9 k Z W w i I F Z h b H V l P S J s M C I g L z 4 8 R W 5 0 c n k g V H l w Z T 0 i U m V z d W x 0 V H l w Z S I g V m F s d W U 9 I n N F e G N l c H R p b 2 4 i I C 8 + P E V u d H J 5 I F R 5 c G U 9 I k Z p b G x F b m F i b G V k I i B W Y W x 1 Z T 0 i b D A i I C 8 + P E V u d H J 5 I F R 5 c G U 9 I k Z p b G x F c n J v c k N v Z G U i I F Z h b H V l P S J z V W 5 r b m 9 3 b i I g L z 4 8 R W 5 0 c n k g V H l w Z T 0 i R m l s b E x h c 3 R V c G R h d G V k I i B W Y W x 1 Z T 0 i Z D I w M j E t M D g t M T R U M T M 6 M z M 6 M T E u N z M 3 M D A 5 M V o i I C 8 + P E V u d H J 5 I F R 5 c G U 9 I k Z p b G x l Z E N v b X B s Z X R l U m V z d W x 0 V G 9 X b 3 J r c 2 h l Z X Q i I F Z h b H V l P S J s M C I g L z 4 8 R W 5 0 c n k g V H l w Z T 0 i R m l s b F N 0 Y X R 1 c y I g V m F s d W U 9 I n N D b 2 1 w b G V 0 Z S I g L z 4 8 R W 5 0 c n k g V H l w Z T 0 i R m l s b F R v R G F 0 Y U 1 v Z G V s R W 5 h Y m x l Z C I g V m F s d W U 9 I m w w I i A v P j x F b n R y e S B U e X B l P S J J c 1 B y a X Z h d G U i I F Z h b H V l P S J s M C I g L z 4 8 R W 5 0 c n k g V H l w Z T 0 i U X V l c n l H c m 9 1 c E l E I i B W Y W x 1 Z T 0 i c 2 M 2 O D Q w Y j h i L T V m Z T Y t N G E z M C 0 4 M W F i L W M 1 O D d l Y j g y N D d h O S I g L z 4 8 R W 5 0 c n k g V H l w Z T 0 i Q n V m Z m V y T m V 4 d F J l Z n J l c 2 g i I F Z h b H V l P S J s M S I g L z 4 8 R W 5 0 c n k g V H l w Z T 0 i R m l s b E 9 i a m V j d F R 5 c G U i I F Z h b H V l P S J z Q 2 9 u b m V j d G l v b k 9 u b H k i I C 8 + P E V u d H J 5 I F R 5 c G U 9 I k x v Y W R U b 1 J l c G 9 y d E R p c 2 F i b G V k I i B W Y W x 1 Z T 0 i b D E i I C 8 + P E V u d H J 5 I F R 5 c G U 9 I l F 1 Z X J 5 S U Q i I F Z h b H V l P S J z M z N i N T B m M G U t N T M x N i 0 0 M m Y 5 L T k y Z m U t Z D c 3 Z D E 3 Y z M 0 Y z V i I i A v P j w v U 3 R h Y m x l R W 5 0 c m l l c z 4 8 L 0 l 0 Z W 0 + P E l 0 Z W 0 + P E l 0 Z W 1 M b 2 N h d G l v b j 4 8 S X R l b V R 5 c G U + R m 9 y b X V s Y T w v S X R l b V R 5 c G U + P E l 0 Z W 1 Q Y X R o P l N l Y 3 R p b 2 4 x L 1 Z v b 3 J i Z W V s Z G J l c 3 R h b m Q l M j B 0 c m F u c 2 Z v c m 1 l c m V u P C 9 J d G V t U G F 0 a D 4 8 L 0 l 0 Z W 1 M b 2 N h d G l v b j 4 8 U 3 R h Y m x l R W 5 0 c m l l c z 4 8 R W 5 0 c n k g V H l w Z T 0 i Q n V m Z m V y T m V 4 d F J l Z n J l c 2 g i I F Z h b H V l P S J s M S I g L z 4 8 R W 5 0 c n k g V H l w Z T 0 i R m l s b E V u Y W J s Z W Q i I F Z h b H V l P S J s M C I g L z 4 8 R W 5 0 c n k g V H l w Z T 0 i R m l s b G V k Q 2 9 t c G x l d G V S Z X N 1 b H R U b 1 d v c m t z a G V l d C I g V m F s d W U 9 I m w w I i A v P j x F b n R y e S B U e X B l P S J G a W x s V G 9 E Y X R h T W 9 k Z W x F b m F i b G V k I i B W Y W x 1 Z T 0 i b D A i I C 8 + P E V u d H J 5 I F R 5 c G U 9 I k l z U H J p d m F 0 Z S I g V m F s d W U 9 I m w w I i A v P j x F b n R y e S B U e X B l P S J R d W V y e U d y b 3 V w S U Q i I F Z h b H V l P S J z N T A z Z G U 0 O G U t O G Q y M y 0 0 N m U 3 L W F j N z k t N T I 2 Z D I x N m V j Z D Y 1 I i A v P j x F b n R y e S B U e X B l P S J S Z X N 1 b H R U e X B l I i B W Y W x 1 Z T 0 i c 0 V 4 Y 2 V w d G l v b i I g L z 4 8 R W 5 0 c n k g V H l w Z T 0 i R m l s b E 9 i a m V j d F R 5 c G U i I F Z h b H V l P S J z Q 2 9 u b m V j d G l v b k 9 u b H k i I C 8 + P E V u d H J 5 I F R 5 c G U 9 I k 5 h b W V V c G R h d G V k Q W Z 0 Z X J G a W x s I i B W Y W x 1 Z T 0 i b D E i I C 8 + P E V u d H J 5 I F R 5 c G U 9 I k x v Y W R U b 1 J l c G 9 y d E R p c 2 F i b G V k I i B W Y W x 1 Z T 0 i b D E i I C 8 + P E V u d H J 5 I F R 5 c G U 9 I l F 1 Z X J 5 S U Q i I F Z h b H V l P S J z M D E y O W Y z Y W E t Y z c 3 Z i 0 0 N m Z m L W F l M D A t M 2 E y N D l m N 2 Z l N T Z i I i A v P j x F b n R y e S B U e X B l P S J G a W x s U 3 R h d H V z I i B W Y W x 1 Z T 0 i c 0 N v b X B s Z X R l I i A v P j x F b n R y e S B U e X B l P S J G a W x s T G F z d F V w Z G F 0 Z W Q i I F Z h b H V l P S J k M j A y N C 0 x M i 0 z M V Q x N z o w O T o y N i 4 1 M T M x M z A w W i I g L z 4 8 R W 5 0 c n k g V H l w Z T 0 i R m l s b E V y c m 9 y Q 2 9 k Z S I g V m F s d W U 9 I n N V b m t u b 3 d u I i A v P j x F b n R y e S B U e X B l P S J B Z G R l Z F R v R G F 0 Y U 1 v Z G V s I i B W Y W x 1 Z T 0 i b D A i I C 8 + P C 9 T d G F i b G V F b n R y a W V z P j w v S X R l b T 4 8 S X R l b T 4 8 S X R l b U x v Y 2 F 0 a W 9 u P j x J d G V t V H l w Z T 5 G b 3 J t d W x h P C 9 J d G V t V H l w Z T 4 8 S X R l b V B h d G g + U 2 V j d G l v b j E v Q m V z d G F u Z C U y M H R y Y W 5 z Z m 9 y b W V y Z W 4 8 L 0 l 0 Z W 1 Q Y X R o P j w v S X R l b U x v Y 2 F 0 a W 9 u P j x T d G F i b G V F b n R y a W V z P j x F b n R y e S B U e X B l P S J C d W Z m Z X J O Z X h 0 U m V m c m V z a C I g V m F s d W U 9 I m w x I i A v P j x F b n R y e S B U e X B l P S J G a W x s R W 5 h Y m x l Z C I g V m F s d W U 9 I m w w I i A v P j x F b n R y e S B U e X B l P S J G a W x s R X J y b 3 J D b 2 R l I i B W Y W x 1 Z T 0 i c 1 V u a 2 5 v d 2 4 i I C 8 + P E V u d H J 5 I F R 5 c G U 9 I k Z p b G x l Z E N v b X B s Z X R l U m V z d W x 0 V G 9 X b 3 J r c 2 h l Z X Q i I F Z h b H V l P S J s M C I g L z 4 8 R W 5 0 c n k g V H l w Z T 0 i Q W R k Z W R U b 0 R h d G F N b 2 R l b C I g V m F s d W U 9 I m w w I i A v P j x F b n R y e S B U e X B l P S J G a W x s V G 9 E Y X R h T W 9 k Z W x F b m F i b G V k I i B W Y W x 1 Z T 0 i b D A i I C 8 + P E V u d H J 5 I F R 5 c G U 9 I k l z U H J p d m F 0 Z S I g V m F s d W U 9 I m w w I i A v P j x F b n R y e S B U e X B l P S J R d W V y e U d y b 3 V w S U Q i I F Z h b H V l P S J z Y z Y 4 N D B i O G I t N W Z l N i 0 0 Y T M w L T g x Y W I t Y z U 4 N 2 V i O D I 0 N 2 E 5 I i A v P j x F b n R y e S B U e X B l P S J S Z X N 1 b H R U e X B l I i B W Y W x 1 Z T 0 i c 0 Z 1 b m N 0 a W 9 u I i A v P j x F b n R y e S B U e X B l P S J G a W x s T 2 J q Z W N 0 V H l w Z S I g V m F s d W U 9 I n N D b 2 5 u Z W N 0 a W 9 u T 2 5 s e S I g L z 4 8 R W 5 0 c n k g V H l w Z T 0 i T G 9 h Z F R v U m V w b 3 J 0 R G l z Y W J s Z W Q i I F Z h b H V l P S J s M S I g L z 4 8 R W 5 0 c n k g V H l w Z T 0 i U X V l c n l J R C I g V m F s d W U 9 I n N h M W R h M m Q 0 M i 1 j Y z A z L T Q z N z A t Y j N m N i 0 z M z l h O G N h O G J l Z j M i I C 8 + P E V u d H J 5 I F R 5 c G U 9 I k Z p b G x M Y X N 0 V X B k Y X R l Z C I g V m F s d W U 9 I m Q y M D I 0 L T E w L T A y V D A 5 O j U 5 O j Q 2 L j U 4 M T A 0 N z B a I i A v P j x F b n R y e S B U e X B l P S J G a W x s U 3 R h d H V z I i B W Y W x 1 Z T 0 i c 0 N v b X B s Z X R l I i A v P j w v U 3 R h Y m x l R W 5 0 c m l l c z 4 8 L 0 l 0 Z W 0 + P E l 0 Z W 0 + P E l 0 Z W 1 M b 2 N h d G l v b j 4 8 S X R l b V R 5 c G U + R m 9 y b X V s Y T w v S X R l b V R 5 c G U + P E l 0 Z W 1 Q Y X R o P l N l Y 3 R p b 2 4 x L 1 Z v b 3 J i Z W V s Z G J l c 3 R h b m Q l M j A l M j g y J T I 5 P C 9 J d G V t U G F 0 a D 4 8 L 0 l 0 Z W 1 M b 2 N h d G l v b j 4 8 U 3 R h Y m x l R W 5 0 c m l l c z 4 8 R W 5 0 c n k g V H l w Z T 0 i T m F 2 a W d h d G l v b l N 0 Z X B O Y W 1 l I i B W Y W x 1 Z T 0 i c 0 5 h d m l n Y X R p Z S I g L z 4 8 R W 5 0 c n k g V H l w Z T 0 i R m l s b E V u Y W J s Z W Q i I F Z h b H V l P S J s M C I g L z 4 8 R W 5 0 c n k g V H l w Z T 0 i R m l s b G V k Q 2 9 t c G x l d G V S Z X N 1 b H R U b 1 d v c m t z a G V l d C I g V m F s d W U 9 I m w w I i A v P j x F b n R y e S B U e X B l P S J G a W x s V G 9 E Y X R h T W 9 k Z W x F b m F i b G V k I i B W Y W x 1 Z T 0 i b D A i I C 8 + P E V u d H J 5 I F R 5 c G U 9 I k l z U H J p d m F 0 Z S I g V m F s d W U 9 I m w w I i A v P j x F b n R y e S B U e X B l P S J R d W V y e U d y b 3 V w S U Q i I F Z h b H V l P S J z M z I 0 Z W E w N G I t N T l l O C 0 0 M 2 Q 4 L T k 1 Y z c t Y j U 2 N j Y w Z D R h M z U 3 I i A v P j x F b n R y e S B U e X B l P S J O Y W 1 l V X B k Y X R l Z E F m d G V y R m l s b C I g V m F s d W U 9 I m w x I i A v P j x F b n R y e S B U e X B l P S J C d W Z m Z X J O Z X h 0 U m V m c m V z a C I g V m F s d W U 9 I m w x I i A v P j x F b n R y e S B U e X B l P S J G a W x s T 2 J q Z W N 0 V H l w Z S I g V m F s d W U 9 I n N D b 2 5 u Z W N 0 a W 9 u T 2 5 s e S I g L z 4 8 R W 5 0 c n k g V H l w Z T 0 i U m V z d W x 0 V H l w Z S I g V m F s d W U 9 I n N F e G N l c H R p b 2 4 i I C 8 + P E V u d H J 5 I F R 5 c G U 9 I k x v Y W R l Z F R v Q W 5 h b H l z a X N T Z X J 2 a W N l c y I g V m F s d W U 9 I m w w I i A v P j x F b n R y e S B U e X B l P S J M b 2 F k V G 9 S Z X B v c n R E a X N h Y m x l Z C I g V m F s d W U 9 I m w x I i A v P j x F b n R y e S B U e X B l P S J R d W V y e U l E I i B W Y W x 1 Z T 0 i c z F m Z m I w N W U z L T A 0 M W U t N D M 2 Y S 1 i Z W Z h L T k 0 N j R l N m Y 1 M D N k Z C I g L z 4 8 R W 5 0 c n k g V H l w Z T 0 i R m l s b E x h c 3 R V c G R h d G V k I i B W Y W x 1 Z T 0 i Z D I w M j Q t M T I t M z F U M T c 6 M D k 6 M j Y u N T I 3 M z U w M F o i I C 8 + P E V u d H J 5 I F R 5 c G U 9 I k Z p b G x T d G F 0 d X M i I F Z h b H V l P S J z Q 2 9 t c G x l d G U i I C 8 + P E V u d H J 5 I F R 5 c G U 9 I l J l b G F 0 a W 9 u c 2 h p c E l u Z m 9 D b 2 5 0 Y W l u Z X I i I F Z h b H V l P S J z e y Z x d W 9 0 O 2 N v b H V t b k N v d W 5 0 J n F 1 b 3 Q 7 O j Y s J n F 1 b 3 Q 7 a 2 V 5 Q 2 9 s d W 1 u T m F t Z X M m c X V v d D s 6 W 1 0 s J n F 1 b 3 Q 7 c X V l c n l S Z W x h d G l v b n N o a X B z J n F 1 b 3 Q 7 O l t d L C Z x d W 9 0 O 2 N v b H V t b k l k Z W 5 0 a X R p Z X M m c X V v d D s 6 W y Z x d W 9 0 O 1 N l Y 3 R p b 2 4 x L 0 J p Z W x l b W F u d H J l Z m Z l b i 9 B d X R v U m V t b 3 Z l Z E N v b H V t b n M x L n t O Y W 1 l L D B 9 J n F 1 b 3 Q 7 L C Z x d W 9 0 O 1 N l Y 3 R p b 2 4 x L 0 J p Z W x l b W F u d H J l Z m Z l b i 9 B d X R v U m V t b 3 Z l Z E N v b H V t b n M x L n t F e H R l b n N p b 2 4 s M X 0 m c X V v d D s s J n F 1 b 3 Q 7 U 2 V j d G l v b j E v Q m l l b G V t Y W 5 0 c m V m Z m V u L 0 F 1 d G 9 S Z W 1 v d m V k Q 2 9 s d W 1 u c z E u e 0 R h d G U g Y W N j Z X N z Z W Q s M n 0 m c X V v d D s s J n F 1 b 3 Q 7 U 2 V j d G l v b j E v Q m l l b G V t Y W 5 0 c m V m Z m V u L 0 F 1 d G 9 S Z W 1 v d m V k Q 2 9 s d W 1 u c z E u e 0 R h d G U g b W 9 k a W Z p Z W Q s M 3 0 m c X V v d D s s J n F 1 b 3 Q 7 U 2 V j d G l v b j E v Q m l l b G V t Y W 5 0 c m V m Z m V u L 0 F 1 d G 9 S Z W 1 v d m V k Q 2 9 s d W 1 u c z E u e 0 R h d G U g Y 3 J l Y X R l Z C w 0 f S Z x d W 9 0 O y w m c X V v d D t T Z W N 0 a W 9 u M S 9 C a W V s Z W 1 h b n R y Z W Z m Z W 4 v Q X V 0 b 1 J l b W 9 2 Z W R D b 2 x 1 b W 5 z M S 5 7 R m 9 s Z G V y I F B h d G g s N X 0 m c X V v d D t d L C Z x d W 9 0 O 0 N v b H V t b k N v d W 5 0 J n F 1 b 3 Q 7 O j Y s J n F 1 b 3 Q 7 S 2 V 5 Q 2 9 s d W 1 u T m F t Z X M m c X V v d D s 6 W 1 0 s J n F 1 b 3 Q 7 Q 2 9 s d W 1 u S W R l b n R p d G l l c y Z x d W 9 0 O z p b J n F 1 b 3 Q 7 U 2 V j d G l v b j E v Q m l l b G V t Y W 5 0 c m V m Z m V u L 0 F 1 d G 9 S Z W 1 v d m V k Q 2 9 s d W 1 u c z E u e 0 5 h b W U s M H 0 m c X V v d D s s J n F 1 b 3 Q 7 U 2 V j d G l v b j E v Q m l l b G V t Y W 5 0 c m V m Z m V u L 0 F 1 d G 9 S Z W 1 v d m V k Q 2 9 s d W 1 u c z E u e 0 V 4 d G V u c 2 l v b i w x f S Z x d W 9 0 O y w m c X V v d D t T Z W N 0 a W 9 u M S 9 C a W V s Z W 1 h b n R y Z W Z m Z W 4 v Q X V 0 b 1 J l b W 9 2 Z W R D b 2 x 1 b W 5 z M S 5 7 R G F 0 Z S B h Y 2 N l c 3 N l Z C w y f S Z x d W 9 0 O y w m c X V v d D t T Z W N 0 a W 9 u M S 9 C a W V s Z W 1 h b n R y Z W Z m Z W 4 v Q X V 0 b 1 J l b W 9 2 Z W R D b 2 x 1 b W 5 z M S 5 7 R G F 0 Z S B t b 2 R p Z m l l Z C w z f S Z x d W 9 0 O y w m c X V v d D t T Z W N 0 a W 9 u M S 9 C a W V s Z W 1 h b n R y Z W Z m Z W 4 v Q X V 0 b 1 J l b W 9 2 Z W R D b 2 x 1 b W 5 z M S 5 7 R G F 0 Z S B j c m V h d G V k L D R 9 J n F 1 b 3 Q 7 L C Z x d W 9 0 O 1 N l Y 3 R p b 2 4 x L 0 J p Z W x l b W F u d H J l Z m Z l b i 9 B d X R v U m V t b 3 Z l Z E N v b H V t b n M x L n t G b 2 x k Z X I g U G F 0 a C w 1 f S Z x d W 9 0 O 1 0 s J n F 1 b 3 Q 7 U m V s Y X R p b 2 5 z a G l w S W 5 m b y Z x d W 9 0 O z p b X X 0 i I C 8 + P E V u d H J 5 I F R 5 c G U 9 I k Z p b G x F c n J v c k N v Z G U i I F Z h b H V l P S J z V W 5 r b m 9 3 b i I g L z 4 8 R W 5 0 c n k g V H l w Z T 0 i Q W R k Z W R U b 0 R h d G F N b 2 R l b C I g V m F s d W U 9 I m w w I i A v P j w v U 3 R h Y m x l R W 5 0 c m l l c z 4 8 L 0 l 0 Z W 0 + P E l 0 Z W 0 + P E l 0 Z W 1 M b 2 N h d G l v b j 4 8 S X R l b V R 5 c G U + R m 9 y b X V s Y T w v S X R l b V R 5 c G U + P E l 0 Z W 1 Q Y X R o P l N l Y 3 R p b 2 4 x L 1 B h c m F t Z X R l c j I 8 L 0 l 0 Z W 1 Q Y X R o P j w v S X R l b U x v Y 2 F 0 a W 9 u P j x T d G F i b G V F b n R y a W V z P j x F b n R y e S B U e X B l P S J B Z G R l Z F R v R G F 0 Y U 1 v Z G V s I i B W Y W x 1 Z T 0 i b D A i I C 8 + P E V u d H J 5 I F R 5 c G U 9 I l J l c 3 V s d F R 5 c G U i I F Z h b H V l P S J z R X h j Z X B 0 a W 9 u I i A v P j x F b n R y e S B U e X B l P S J G a W x s R W 5 h Y m x l Z C I g V m F s d W U 9 I m w w I i A v P j x F b n R y e S B U e X B l P S J G a W x s R X J y b 3 J D b 2 R l I i B W Y W x 1 Z T 0 i c 1 V u a 2 5 v d 2 4 i I C 8 + P E V u d H J 5 I F R 5 c G U 9 I k Z p b G x M Y X N 0 V X B k Y X R l Z C I g V m F s d W U 9 I m Q y M D I x L T A 4 L T E 0 V D E z O j M z O j E y L j I 1 M z A 0 M z F a I i A v P j x F b n R y e S B U e X B l P S J G a W x s Z W R D b 2 1 w b G V 0 Z V J l c 3 V s d F R v V 2 9 y a 3 N o Z W V 0 I i B W Y W x 1 Z T 0 i b D A i I C 8 + P E V u d H J 5 I F R 5 c G U 9 I k Z p b G x T d G F 0 d X M i I F Z h b H V l P S J z Q 2 9 t c G x l d G U i I C 8 + P E V u d H J 5 I F R 5 c G U 9 I k Z p b G x U b 0 R h d G F N b 2 R l b E V u Y W J s Z W Q i I F Z h b H V l P S J s M C I g L z 4 8 R W 5 0 c n k g V H l w Z T 0 i S X N Q c m l 2 Y X R l I i B W Y W x 1 Z T 0 i b D A i I C 8 + P E V u d H J 5 I F R 5 c G U 9 I l F 1 Z X J 5 R 3 J v d X B J R C I g V m F s d W U 9 I n M z M j R l Y T A 0 Y i 0 1 O W U 4 L T Q z Z D g t O T V j N y 1 i N T Y 2 N j B k N G E z N T c i I C 8 + P E V u d H J 5 I F R 5 c G U 9 I k J 1 Z m Z l c k 5 l e H R S Z W Z y Z X N o I i B W Y W x 1 Z T 0 i b D E i I C 8 + P E V u d H J 5 I F R 5 c G U 9 I k Z p b G x P Y m p l Y 3 R U e X B l I i B W Y W x 1 Z T 0 i c 0 N v b m 5 l Y 3 R p b 2 5 P b m x 5 I i A v P j x F b n R y e S B U e X B l P S J M b 2 F k V G 9 S Z X B v c n R E a X N h Y m x l Z C I g V m F s d W U 9 I m w x I i A v P j x F b n R y e S B U e X B l P S J R d W V y e U l E I i B W Y W x 1 Z T 0 i c z A 0 N z F m M T I 1 L T Q 0 M T Y t N D E w Z S 0 5 N T d l L T l l M D Y 0 M W J l O G U 1 Z i I g L z 4 8 L 1 N 0 Y W J s Z U V u d H J p Z X M + P C 9 J d G V t P j x J d G V t P j x J d G V t T G 9 j Y X R p b 2 4 + P E l 0 Z W 1 U e X B l P k Z v c m 1 1 b G E 8 L 0 l 0 Z W 1 U e X B l P j x J d G V t U G F 0 a D 5 T Z W N 0 a W 9 u M S 9 W b 2 9 y Y m V l b G R i Z X N 0 Y W 5 k J T I w d H J h b n N m b 3 J t Z X J l b i U y M C U y O D I l M j k 8 L 0 l 0 Z W 1 Q Y X R o P j w v S X R l b U x v Y 2 F 0 a W 9 u P j x T d G F i b G V F b n R y a W V z P j x F b n R y e S B U e X B l P S J C d W Z m Z X J O Z X h 0 U m V m c m V z a C I g V m F s d W U 9 I m w x I i A v P j x F b n R y e S B U e X B l P S J G a W x s R W 5 h Y m x l Z C I g V m F s d W U 9 I m w w I i A v P j x F b n R y e S B U e X B l P S J G a W x s Z W R D b 2 1 w b G V 0 Z V J l c 3 V s d F R v V 2 9 y a 3 N o Z W V 0 I i B W Y W x 1 Z T 0 i b D A i I C 8 + P E V u d H J 5 I F R 5 c G U 9 I k Z p b G x U b 0 R h d G F N b 2 R l b E V u Y W J s Z W Q i I F Z h b H V l P S J s M C I g L z 4 8 R W 5 0 c n k g V H l w Z T 0 i S X N Q c m l 2 Y X R l I i B W Y W x 1 Z T 0 i b D A i I C 8 + P E V u d H J 5 I F R 5 c G U 9 I l F 1 Z X J 5 R 3 J v d X B J R C I g V m F s d W U 9 I n M y O D U 4 N G F m Z C 0 2 N G U 0 L T Q y Z j Q t O D I 4 M S 1 m Y m I 4 O G U y M z M x N z U i I C 8 + P E V u d H J 5 I F R 5 c G U 9 I l J l c 3 V s d F R 5 c G U i I F Z h b H V l P S J z R X h j Z X B 0 a W 9 u I i A v P j x F b n R y e S B U e X B l P S J G a W x s T 2 J q Z W N 0 V H l w Z S I g V m F s d W U 9 I n N D b 2 5 u Z W N 0 a W 9 u T 2 5 s e S I g L z 4 8 R W 5 0 c n k g V H l w Z T 0 i T m F t Z V V w Z G F 0 Z W R B Z n R l c k Z p b G w i I F Z h b H V l P S J s M S I g L z 4 8 R W 5 0 c n k g V H l w Z T 0 i T G 9 h Z F R v U m V w b 3 J 0 R G l z Y W J s Z W Q i I F Z h b H V l P S J s M S I g L z 4 8 R W 5 0 c n k g V H l w Z T 0 i U X V l c n l J R C I g V m F s d W U 9 I n N l O W Q z M z Z j Z C 0 x N j h i L T R k Z D M t O D k w Y i 0 y M z d l Z T U x Z T I 0 M j U i I C 8 + P E V u d H J 5 I F R 5 c G U 9 I k Z p b G x T d G F 0 d X M i I F Z h b H V l P S J z Q 2 9 t c G x l d G U i I C 8 + P E V u d H J 5 I F R 5 c G U 9 I k Z p b G x M Y X N 0 V X B k Y X R l Z C I g V m F s d W U 9 I m Q y M D I 0 L T E y L T M x V D E 3 O j A 5 O j I 2 L j U 0 N z A x M z B a I i A v P j x F b n R y e S B U e X B l P S J G a W x s R X J y b 3 J D b 2 R l I i B W Y W x 1 Z T 0 i c 1 V u a 2 5 v d 2 4 i I C 8 + P E V u d H J 5 I F R 5 c G U 9 I k F k Z G V k V G 9 E Y X R h T W 9 k Z W w i I F Z h b H V l P S J s M C I g L z 4 8 L 1 N 0 Y W J s Z U V u d H J p Z X M + P C 9 J d G V t P j x J d G V t P j x J d G V t T G 9 j Y X R p b 2 4 + P E l 0 Z W 1 U e X B l P k Z v c m 1 1 b G E 8 L 0 l 0 Z W 1 U e X B l P j x J d G V t U G F 0 a D 5 T Z W N 0 a W 9 u M S 9 C Z X N 0 Y W 5 k J T I w d H J h b n N m b 3 J t Z X J l b i U y M C U y O D I l M j k 8 L 0 l 0 Z W 1 Q Y X R o P j w v S X R l b U x v Y 2 F 0 a W 9 u P j x T d G F i b G V F b n R y a W V z P j x F b n R y e S B U e X B l P S J C d W Z m Z X J O Z X h 0 U m V m c m V z a C I g V m F s d W U 9 I m w x I i A v P j x F b n R y e S B U e X B l P S J G a W x s R W 5 h Y m x l Z C I g V m F s d W U 9 I m w w I i A v P j x F b n R y e S B U e X B l P S J G a W x s R X J y b 3 J D b 2 R l I i B W Y W x 1 Z T 0 i c 1 V u a 2 5 v d 2 4 i I C 8 + P E V u d H J 5 I F R 5 c G U 9 I k Z p b G x l Z E N v b X B s Z X R l U m V z d W x 0 V G 9 X b 3 J r c 2 h l Z X Q i I F Z h b H V l P S J s M C I g L z 4 8 R W 5 0 c n k g V H l w Z T 0 i Q W R k Z W R U b 0 R h d G F N b 2 R l b C I g V m F s d W U 9 I m w w I i A v P j x F b n R y e S B U e X B l P S J G a W x s V G 9 E Y X R h T W 9 k Z W x F b m F i b G V k I i B W Y W x 1 Z T 0 i b D A i I C 8 + P E V u d H J 5 I F R 5 c G U 9 I k l z U H J p d m F 0 Z S I g V m F s d W U 9 I m w w I i A v P j x F b n R y e S B U e X B l P S J R d W V y e U d y b 3 V w S U Q i I F Z h b H V l P S J z M z I 0 Z W E w N G I t N T l l O C 0 0 M 2 Q 4 L T k 1 Y z c t Y j U 2 N j Y w Z D R h M z U 3 I i A v P j x F b n R y e S B U e X B l P S J S Z X N 1 b H R U e X B l I i B W Y W x 1 Z T 0 i c 0 Z 1 b m N 0 a W 9 u I i A v P j x F b n R y e S B U e X B l P S J G a W x s T 2 J q Z W N 0 V H l w Z S I g V m F s d W U 9 I n N D b 2 5 u Z W N 0 a W 9 u T 2 5 s e S I g L z 4 8 R W 5 0 c n k g V H l w Z T 0 i T G 9 h Z F R v U m V w b 3 J 0 R G l z Y W J s Z W Q i I F Z h b H V l P S J s M S I g L z 4 8 R W 5 0 c n k g V H l w Z T 0 i U X V l c n l J R C I g V m F s d W U 9 I n M z N m M 2 N G Q 3 M C 1 k N D Y x L T Q 2 N G I t O G Y 1 O S 1 j N j E 5 N z E x Y z d i Z m Q i I C 8 + P E V u d H J 5 I F R 5 c G U 9 I k Z p b G x M Y X N 0 V X B k Y X R l Z C I g V m F s d W U 9 I m Q y M D I 0 L T E w L T A y V D A 5 O j U 5 O j Q 2 L j g z N z g 3 O D B a I i A v P j x F b n R y e S B U e X B l P S J G a W x s U 3 R h d H V z I i B W Y W x 1 Z T 0 i c 0 N v b X B s Z X R l I i A v P j w v U 3 R h Y m x l R W 5 0 c m l l c z 4 8 L 0 l 0 Z W 0 + P E l 0 Z W 0 + P E l 0 Z W 1 M b 2 N h d G l v b j 4 8 S X R l b V R 5 c G U + R m 9 y b X V s Y T w v S X R l b V R 5 c G U + P E l 0 Z W 1 Q Y X R o P l N l Y 3 R p b 2 4 x L 0 J p Z W x l b W F u d H J l Z m Z l b j w v S X R l b V B h d G g + P C 9 J d G V t T G 9 j Y X R p b 2 4 + P F N 0 Y W J s Z U V u d H J p Z X M + P E V u d H J 5 I F R 5 c G U 9 I k J 1 Z m Z l c k 5 l e H R S Z W Z y Z X N o I i B W Y W x 1 Z T 0 i b D E i I C 8 + P E V u d H J 5 I F R 5 c G U 9 I k Z p b G x F b m F i b G V k I i B W Y W x 1 Z T 0 i b D E i I C 8 + P E V u d H J 5 I F R 5 c G U 9 I k Z p b G x l Z E N v b X B s Z X R l U m V z d W x 0 V G 9 X b 3 J r c 2 h l Z X Q i I F Z h b H V l P S J s M S I g L z 4 8 R W 5 0 c n k g V H l w Z T 0 i R m l s b F R v R G F 0 Y U 1 v Z G V s R W 5 h Y m x l Z C I g V m F s d W U 9 I m w w I i A v P j x F b n R y e S B U e X B l P S J J c 1 B y a X Z h d G U i I F Z h b H V l P S J s M C I g L z 4 8 R W 5 0 c n k g V H l w Z T 0 i U X V l c n l J R C I g V m F s d W U 9 I n M 0 M z A w O D g 1 O S 0 y Y j g 5 L T R j O G E t O D U 4 M C 1 i N j E w Y T M x M T B k Y j M i I C 8 + P E V u d H J 5 I F R 5 c G U 9 I l J l c 3 V s d F R 5 c G U i I F Z h b H V l P S J z V G F i b G U i I C 8 + P E V u d H J 5 I F R 5 c G U 9 I k 5 h d m l n Y X R p b 2 5 T d G V w T m F t Z S I g V m F s d W U 9 I n N O Y X Z p Z 2 F 0 a W U i I C 8 + P E V u d H J 5 I F R 5 c G U 9 I k Z p b G x P Y m p l Y 3 R U e X B l I i B W Y W x 1 Z T 0 i c 1 R h Y m x l I i A v P j x F b n R y e S B U e X B l P S J O Y W 1 l V X B k Y X R l Z E F m d G V y R m l s b C I g V m F s d W U 9 I m w w I i A v P j x F b n R y e S B U e X B l P S J G a W x s V G F y Z 2 V 0 I i B W Y W x 1 Z T 0 i c 0 J p Z W x l b W F u d H J l Z m Z l b l 8 y I i A v P j x F b n R y e S B U e X B l P S J M b 2 F k V G 9 S Z X B v c n R E a X N h Y m x l Z C I g V m F s d W U 9 I m w w I i A v P j x F b n R y e S B U e X B l P S J G a W x s T G F z d F V w Z G F 0 Z W Q i I F Z h b H V l P S J k M j A y N C 0 x M i 0 z M V Q x N z o w O T o 0 N i 4 z N z I 0 M j I w W i I g L z 4 8 R W 5 0 c n k g V H l w Z T 0 i R m l s b E V y c m 9 y Q 2 9 1 b n Q i I F Z h b H V l P S J s M C I g L z 4 8 R W 5 0 c n k g V H l w Z T 0 i R m l s b E N v b H V t b l R 5 c G V z I i B W Y W x 1 Z T 0 i c 0 J n W U d B d 0 1 E Q X d Z R 0 J 3 Y z 0 i I C 8 + P E V u d H J 5 I F R 5 c G U 9 I k Z p b G x F c n J v c k N v Z G U i I F Z h b H V l P S J z V W 5 r b m 9 3 b i I g L z 4 8 R W 5 0 c n k g V H l w Z T 0 i R m l s b E N v b H V t b k 5 h b W V z I i B W Y W x 1 Z T 0 i c 1 s m c X V v d D t C S U V M J n F 1 b 3 Q 7 L C Z x d W 9 0 O 1 Z l c i 5 u c i 4 m c X V v d D s s J n F 1 b 3 Q 7 T m F h b S B 2 Z X J l b m l n a W 5 n J n F 1 b 3 Q 7 L C Z x d W 9 0 O 1 N l b m l v c m V u J n F 1 b 3 Q 7 L C Z x d W 9 0 O 0 p v b m c g d m 9 s d 2 F z c 2 V u Z S Z x d W 9 0 O y w m c X V v d D t K d W 5 p b 3 J l b i Z x d W 9 0 O y w m c X V v d D t B c 3 B p c m F u d G V u J n F 1 b 3 Q 7 L C Z x d W 9 0 O 0 9 w b W V y a 2 l u Z 2 V u L 3 R v Z W x p Y 2 h 0 a W 5 n J n F 1 b 3 Q 7 L C Z x d W 9 0 O 0 l u e m V u Z G l u Z y 1 J R C Z x d W 9 0 O y w m c X V v d D t J b n p l b m R k Y X R 1 b S Z x d W 9 0 O y w m c X V v d D t E Y X R l I F V w Z G F 0 Z W Q m c X V v d D t d I i A v P j x F b n R y e S B U e X B l P S J G a W x s Q 2 9 1 b n Q i I F Z h b H V l P S J s M j A i I C 8 + P E V u d H J 5 I F R 5 c G U 9 I k Z p b G x T d G F 0 d X M i I F Z h b H V l P S J z Q 2 9 t c G x l d G U i I C 8 + P E V u d H J 5 I F R 5 c G U 9 I k F k Z G V k V G 9 E Y X R h T W 9 k Z W w i I F Z h b H V l P S J s M C I g L z 4 8 R W 5 0 c n k g V H l w Z T 0 i U m V s Y X R p b 2 5 z a G l w S W 5 m b 0 N v b n R h a W 5 l c i I g V m F s d W U 9 I n N 7 J n F 1 b 3 Q 7 Y 2 9 s d W 1 u Q 2 9 1 b n Q m c X V v d D s 6 M T E s J n F 1 b 3 Q 7 a 2 V 5 Q 2 9 s d W 1 u T m F t Z X M m c X V v d D s 6 W 1 0 s J n F 1 b 3 Q 7 c X V l c n l S Z W x h d G l v b n N o a X B z J n F 1 b 3 Q 7 O l t d L C Z x d W 9 0 O 2 N v b H V t b k l k Z W 5 0 a X R p Z X M m c X V v d D s 6 W y Z x d W 9 0 O 1 N l Y 3 R p b 2 4 x L 0 J p Z W x l b W F u d H J l Z m Z l b i 9 B d X R v U m V t b 3 Z l Z E N v b H V t b n M x L n t C S U V M L D B 9 J n F 1 b 3 Q 7 L C Z x d W 9 0 O 1 N l Y 3 R p b 2 4 x L 0 J p Z W x l b W F u d H J l Z m Z l b i 9 B d X R v U m V t b 3 Z l Z E N v b H V t b n M x L n t W Z X I u b n I u L D F 9 J n F 1 b 3 Q 7 L C Z x d W 9 0 O 1 N l Y 3 R p b 2 4 x L 0 J p Z W x l b W F u d H J l Z m Z l b i 9 B d X R v U m V t b 3 Z l Z E N v b H V t b n M x L n t O Y W F t I H Z l c m V u a W d p b m c s M n 0 m c X V v d D s s J n F 1 b 3 Q 7 U 2 V j d G l v b j E v Q m l l b G V t Y W 5 0 c m V m Z m V u L 0 F 1 d G 9 S Z W 1 v d m V k Q 2 9 s d W 1 u c z E u e 1 N l b m l v c m V u L D N 9 J n F 1 b 3 Q 7 L C Z x d W 9 0 O 1 N l Y 3 R p b 2 4 x L 0 J p Z W x l b W F u d H J l Z m Z l b i 9 B d X R v U m V t b 3 Z l Z E N v b H V t b n M x L n t K b 2 5 n I H Z v b H d h c 3 N l b m U s N H 0 m c X V v d D s s J n F 1 b 3 Q 7 U 2 V j d G l v b j E v Q m l l b G V t Y W 5 0 c m V m Z m V u L 0 F 1 d G 9 S Z W 1 v d m V k Q 2 9 s d W 1 u c z E u e 0 p 1 b m l v c m V u L D V 9 J n F 1 b 3 Q 7 L C Z x d W 9 0 O 1 N l Y 3 R p b 2 4 x L 0 J p Z W x l b W F u d H J l Z m Z l b i 9 B d X R v U m V t b 3 Z l Z E N v b H V t b n M x L n t B c 3 B p c m F u d G V u L D Z 9 J n F 1 b 3 Q 7 L C Z x d W 9 0 O 1 N l Y 3 R p b 2 4 x L 0 J p Z W x l b W F u d H J l Z m Z l b i 9 B d X R v U m V t b 3 Z l Z E N v b H V t b n M x L n t P c G 1 l c m t p b m d l b i 9 0 b 2 V s a W N o d G l u Z y w 3 f S Z x d W 9 0 O y w m c X V v d D t T Z W N 0 a W 9 u M S 9 C a W V s Z W 1 h b n R y Z W Z m Z W 4 v Q X V 0 b 1 J l b W 9 2 Z W R D b 2 x 1 b W 5 z M S 5 7 S W 5 6 Z W 5 k a W 5 n L U l E L D h 9 J n F 1 b 3 Q 7 L C Z x d W 9 0 O 1 N l Y 3 R p b 2 4 x L 0 J p Z W x l b W F u d H J l Z m Z l b i 9 B d X R v U m V t b 3 Z l Z E N v b H V t b n M x L n t J b n p l b m R k Y X R 1 b S w 5 f S Z x d W 9 0 O y w m c X V v d D t T Z W N 0 a W 9 u M S 9 C a W V s Z W 1 h b n R y Z W Z m Z W 4 v Q X V 0 b 1 J l b W 9 2 Z W R D b 2 x 1 b W 5 z M S 5 7 R G F 0 Z S B V c G R h d G V k L D E w f S Z x d W 9 0 O 1 0 s J n F 1 b 3 Q 7 Q 2 9 s d W 1 u Q 2 9 1 b n Q m c X V v d D s 6 M T E s J n F 1 b 3 Q 7 S 2 V 5 Q 2 9 s d W 1 u T m F t Z X M m c X V v d D s 6 W 1 0 s J n F 1 b 3 Q 7 Q 2 9 s d W 1 u S W R l b n R p d G l l c y Z x d W 9 0 O z p b J n F 1 b 3 Q 7 U 2 V j d G l v b j E v Q m l l b G V t Y W 5 0 c m V m Z m V u L 0 F 1 d G 9 S Z W 1 v d m V k Q 2 9 s d W 1 u c z E u e 0 J J R U w s M H 0 m c X V v d D s s J n F 1 b 3 Q 7 U 2 V j d G l v b j E v Q m l l b G V t Y W 5 0 c m V m Z m V u L 0 F 1 d G 9 S Z W 1 v d m V k Q 2 9 s d W 1 u c z E u e 1 Z l c i 5 u c i 4 s M X 0 m c X V v d D s s J n F 1 b 3 Q 7 U 2 V j d G l v b j E v Q m l l b G V t Y W 5 0 c m V m Z m V u L 0 F 1 d G 9 S Z W 1 v d m V k Q 2 9 s d W 1 u c z E u e 0 5 h Y W 0 g d m V y Z W 5 p Z 2 l u Z y w y f S Z x d W 9 0 O y w m c X V v d D t T Z W N 0 a W 9 u M S 9 C a W V s Z W 1 h b n R y Z W Z m Z W 4 v Q X V 0 b 1 J l b W 9 2 Z W R D b 2 x 1 b W 5 z M S 5 7 U 2 V u a W 9 y Z W 4 s M 3 0 m c X V v d D s s J n F 1 b 3 Q 7 U 2 V j d G l v b j E v Q m l l b G V t Y W 5 0 c m V m Z m V u L 0 F 1 d G 9 S Z W 1 v d m V k Q 2 9 s d W 1 u c z E u e 0 p v b m c g d m 9 s d 2 F z c 2 V u Z S w 0 f S Z x d W 9 0 O y w m c X V v d D t T Z W N 0 a W 9 u M S 9 C a W V s Z W 1 h b n R y Z W Z m Z W 4 v Q X V 0 b 1 J l b W 9 2 Z W R D b 2 x 1 b W 5 z M S 5 7 S n V u a W 9 y Z W 4 s N X 0 m c X V v d D s s J n F 1 b 3 Q 7 U 2 V j d G l v b j E v Q m l l b G V t Y W 5 0 c m V m Z m V u L 0 F 1 d G 9 S Z W 1 v d m V k Q 2 9 s d W 1 u c z E u e 0 F z c G l y Y W 5 0 Z W 4 s N n 0 m c X V v d D s s J n F 1 b 3 Q 7 U 2 V j d G l v b j E v Q m l l b G V t Y W 5 0 c m V m Z m V u L 0 F 1 d G 9 S Z W 1 v d m V k Q 2 9 s d W 1 u c z E u e 0 9 w b W V y a 2 l u Z 2 V u L 3 R v Z W x p Y 2 h 0 a W 5 n L D d 9 J n F 1 b 3 Q 7 L C Z x d W 9 0 O 1 N l Y 3 R p b 2 4 x L 0 J p Z W x l b W F u d H J l Z m Z l b i 9 B d X R v U m V t b 3 Z l Z E N v b H V t b n M x L n t J b n p l b m R p b m c t S U Q s O H 0 m c X V v d D s s J n F 1 b 3 Q 7 U 2 V j d G l v b j E v Q m l l b G V t Y W 5 0 c m V m Z m V u L 0 F 1 d G 9 S Z W 1 v d m V k Q 2 9 s d W 1 u c z E u e 0 l u e m V u Z G R h d H V t L D l 9 J n F 1 b 3 Q 7 L C Z x d W 9 0 O 1 N l Y 3 R p b 2 4 x L 0 J p Z W x l b W F u d H J l Z m Z l b i 9 B d X R v U m V t b 3 Z l Z E N v b H V t b n M x L n t E Y X R l I F V w Z G F 0 Z W Q s M T B 9 J n F 1 b 3 Q 7 X S w m c X V v d D t S Z W x h d G l v b n N o a X B J b m Z v J n F 1 b 3 Q 7 O l t d f S I g L z 4 8 L 1 N 0 Y W J s Z U V u d H J p Z X M + P C 9 J d G V t P j x J d G V t P j x J d G V t T G 9 j Y X R p b 2 4 + P E l 0 Z W 1 U e X B l P k Z v c m 1 1 b G E 8 L 0 l 0 Z W 1 U e X B l P j x J d G V t U G F 0 a D 5 T Z W N 0 a W 9 u M S 9 M S j w v S X R l b V B h d G g + P C 9 J d G V t T G 9 j Y X R p b 2 4 + P F N 0 Y W J s Z U V u d H J p Z X M + P E V u d H J 5 I F R 5 c G U 9 I k 5 h d m l n Y X R p b 2 5 T d G V w T m F t Z S I g V m F s d W U 9 I n N O Y X Z p Z 2 F 0 a W U i I C 8 + P E V u d H J 5 I F R 5 c G U 9 I k Z p b G x F b m F i b G V k I i B W Y W x 1 Z T 0 i b D E i I C 8 + P E V u d H J 5 I F R 5 c G U 9 I k Z p b G x l Z E N v b X B s Z X R l U m V z d W x 0 V G 9 X b 3 J r c 2 h l Z X Q i I F Z h b H V l P S J s M S I g L z 4 8 R W 5 0 c n k g V H l w Z T 0 i R m l s b F R v R G F 0 Y U 1 v Z G V s R W 5 h Y m x l Z C I g V m F s d W U 9 I m w w I i A v P j x F b n R y e S B U e X B l P S J J c 1 B y a X Z h d G U i I F Z h b H V l P S J s M C I g L z 4 8 R W 5 0 c n k g V H l w Z T 0 i U X V l c n l J R C I g V m F s d W U 9 I n N j Z G Y 1 M 2 F k N C 1 h M W M z L T R l O G I t Y j B h N C 0 y M T V l O T U x Z m I 5 N 2 U i I C 8 + P E V u d H J 5 I F R 5 c G U 9 I k 5 h b W V V c G R h d G V k Q W Z 0 Z X J G a W x s I i B W Y W x 1 Z T 0 i b D A i I C 8 + P E V u d H J 5 I F R 5 c G U 9 I k J 1 Z m Z l c k 5 l e H R S Z W Z y Z X N o I i B W Y W x 1 Z T 0 i b D E i I C 8 + P E V u d H J 5 I F R 5 c G U 9 I k Z p b G x P Y m p l Y 3 R U e X B l I i B W Y W x 1 Z T 0 i c 1 R h Y m x l I i A v P j x F b n R y e S B U e X B l P S J S Z X N 1 b H R U e X B l I i B W Y W x 1 Z T 0 i c 1 R h Y m x l I i A v P j x F b n R y e S B U e X B l P S J G a W x s V G F y Z 2 V 0 I i B W Y W x 1 Z T 0 i c 0 x K I i A v P j x F b n R y e S B U e X B l P S J M b 2 F k Z W R U b 0 F u Y W x 5 c 2 l z U 2 V y d m l j Z X M i I F Z h b H V l P S J s M C I g L z 4 8 R W 5 0 c n k g V H l w Z T 0 i T G 9 h Z F R v U m V w b 3 J 0 R G l z Y W J s Z W Q i I F Z h b H V l P S J s M C I g L z 4 8 R W 5 0 c n k g V H l w Z T 0 i R m l s b E x h c 3 R V c G R h d G V k I i B W Y W x 1 Z T 0 i Z D I w M j Q t M T I t M z F U M T c 6 M D k 6 M z c u O D Y y N T I z M F o i I C 8 + P E V u d H J 5 I F R 5 c G U 9 I k Z p b G x D b 2 x 1 b W 5 U e X B l c y I g V m F s d W U 9 I n N C Z 1 l H Q m d Z R 0 J n W U R B d 0 1 E Q X d N R E F 3 W U d C Z 0 1 E Q X d N R E F 3 W U d B d 0 1 E Q X d N R E F 3 T U R C Z 1 l E Q m d N R 0 F 3 W U R C Z 0 1 E Q X d N R 0 J n W U R C d 2 N H Q m d Z R 0 J n W U R C Z 1 l H Q m d Z R 0 F 3 W U d C Z 1 l E I i A v P j x F b n R y e S B U e X B l P S J G a W x s R X J y b 3 J D b 3 V u d C I g V m F s d W U 9 I m w w I i A v P j x F b n R y e S B U e X B l P S J G a W x s Q 2 9 s d W 1 u T m F t Z X M i I F Z h b H V l P S J z W y Z x d W 9 0 O 0 t y a W 5 n Z G F n J n F 1 b 3 Q 7 L C Z x d W 9 0 O 1 Z l c i 5 u c i Z x d W 9 0 O y w m c X V v d D t O Y W F t I H Z l c m V u a W d p b m c m c X V v d D s s J n F 1 b 3 Q 7 R G V s Z W d h d G l l J n F 1 b 3 Q 7 L C Z x d W 9 0 O 0 1 1 e m l l a 2 t v c n B z I G J p a i B t Y X J z I G V u I G R l Z m l s X H U w M E U 5 J n F 1 b 3 Q 7 L C Z x d W 9 0 O 0 R l Z W x u L i B q Z X V n Z G t v b m l u Z 3 N j a G l l d G V u J n F 1 b 3 Q 7 L C Z x d W 9 0 O 0 1 h a i 4 g U 2 V u a W 9 y Z W 4 g a n V y Z X J l b i B i a W o g b W F y c y Z x d W 9 0 O y w m c X V v d D t N Y W o u I E p l d W d k I G p 1 c m V y Z W 4 g Y m l q I G 1 h c n M m c X V v d D s s J n F 1 b 3 Q 7 S 2 9 y c H M g c 2 V u a W 9 y Z W 4 m c X V v d D s s J n F 1 b 3 Q 7 S n V u a W 9 y Z W 4 g a 2 9 y c H M g M S Z x d W 9 0 O y w m c X V v d D t K d W 5 p b 3 J l b i B r b 3 J w c y A y J n F 1 b 3 Q 7 L C Z x d W 9 0 O 0 F z c G l y Y W 5 0 Z W 4 g a 2 9 y c H M g M S Z x d W 9 0 O y w m c X V v d D t B c 3 B p c m F u d G V u I G t v c n B z I D I m c X V v d D s s J n F 1 b 3 Q 7 Q W N y b 2 J h d G l z Y 2 g g c 2 V u a W 9 y Z W 4 m c X V v d D s s J n F 1 b 3 Q 7 Q W N y b 2 J h d G l z Y 2 g g a n V u a W 9 y Z W 4 m c X V v d D s s J n F 1 b 3 Q 7 Q W N y b 2 J h d G l z Y 2 g g Y X N w a X J h b n R l b i Z x d W 9 0 O y w m c X V v d D t T a G 9 3 I H N l b m l v c m V u J n F 1 b 3 Q 7 L C Z x d W 9 0 O 1 N o b 3 c g a n V u a W 9 y Z W 4 m c X V v d D s s J n F 1 b 3 Q 7 U 2 h v d y B h c 3 B p c m F u d G V u J n F 1 b 3 Q 7 L C Z x d W 9 0 O 1 N l b m l v c m V u I G l u Z G l 2 L i Z x d W 9 0 O y w m c X V v d D t K d W 5 p b 3 J l b i B p b m R p d i 4 m c X V v d D s s J n F 1 b 3 Q 7 Q X N w a X J h b n R l b i B p b m R p d i 4 m c X V v d D s s J n F 1 b 3 Q 7 U 2 V u L i B p b m Q g b 3 B n Z W d l d m V u I G 5 h b W V u J n F 1 b 3 Q 7 L C Z x d W 9 0 O 0 p 1 b i 4 g a W 5 k I G 9 w Z 2 V n Z X Z l b i B u Y W 1 l b i Z x d W 9 0 O y w m c X V v d D t B c 3 A u I G l u Z C B v c G d l Z 2 V 2 Z W 4 g b m F t Z W 4 m c X V v d D s s J n F 1 b 3 Q 7 S G 9 v Z m R r b 3 J w c y Z x d W 9 0 O y w m c X V v d D s y Z S B r b 3 J w c y Z x d W 9 0 O y w m c X V v d D t H c m 9 l c G V u L C B 0 Z W F t c y w g Z W 5 z Z W 1 i b G V z I G V u I G R 1 b 1 x 1 M D A y N 3 M m c X V v d D s s J n F 1 b 3 Q 7 U 2 V u a W 9 y Z W 4 m c X V v d D s s J n F 1 b 3 Q 7 S m 9 u Z y B 2 b 2 x 3 Y X N z Z W 5 l J n F 1 b 3 Q 7 L C Z x d W 9 0 O 0 p 1 b m l v c m V u J n F 1 b 3 Q 7 L C Z x d W 9 0 O 0 F z c G l y Y W 5 0 Z W 4 m c X V v d D s s J n F 1 b 3 Q 7 T 3 B n Z W d l d m V u I H N l b m l v c m V u J n F 1 b 3 Q 7 L C Z x d W 9 0 O 0 9 w Z 2 V n Z X Z l b i B q b 2 5 n I H Z v b H d h c 3 N l b m U m c X V v d D s s J n F 1 b 3 Q 7 T 3 B n Z W d l d m V u I G p 1 b m l v c m V u J n F 1 b 3 Q 7 L C Z x d W 9 0 O 0 9 w Z 2 V n Z X Z l b i B h c 3 B p c m F u d G V u J n F 1 b 3 Q 7 L C Z x d W 9 0 O 0 1 h c m t l d G V u d H N 0 Z X J z J n F 1 b 3 Q 7 L C Z x d W 9 0 O 0 x 1 Y 2 h 0 Z 2 V 3 Z W V y J n F 1 b 3 Q 7 L C Z x d W 9 0 O 0 F h b n R h b C B s d W N o d G d l d 2 V l c n N j a H V 0 d G V y c y Z x d W 9 0 O y w m c X V v d D t M d W N o d H B p c 3 R v b 2 w m c X V v d D s s J n F 1 b 3 Q 7 Q W F u d G F s I G x 1 Y 2 h 0 c G l z d G 9 v b H N j a H V 0 d G V y c y Z x d W 9 0 O y w m c X V v d D t I Y W 5 k Y m 9 v Z y Z x d W 9 0 O y w m c X V v d D t B Y W 5 0 Y W w g a G F u Z G J v b 2 d z Y 2 h 1 d H R l c n M m c X V v d D s s J n F 1 b 3 Q 7 S 3 J 1 a X N i b 2 9 n J n F 1 b 3 Q 7 L C Z x d W 9 0 O 0 F h b n R h b C B r c n V p c 2 J v b 2 d z Y 2 h 1 d H R l c n M m c X V v d D s s J n F 1 b 3 Q 7 T H V j a H R n Z X d l Z X I g a m V 1 Z 2 Q g b m l l d C B v d W R l c i B k Y W 4 g M T c g a m F h c i 4 m c X V v d D s s J n F 1 b 3 Q 7 Q W F u d G F s I G t v c n B z Z W 4 m c X V v d D s s J n F 1 b 3 Q 7 T 3 B n Z W d l d m V u I G p l d W d k a 2 9 y c H N l b i B M R y Z x d W 9 0 O y w m c X V v d D t U b 3 R h Y W w g Y W F u d G F s I G R l Z W x u Z W 1 l c n M m c X V v d D s s J n F 1 b 3 Q 7 V 2 F h c n Z h b i B h Y W 5 0 Y W w g a m V 1 Z 2 Q g K H Q v b S A x N S B q Y W F y K S Z x d W 9 0 O y w m c X V v d D t L Y W 5 v b i B l d G M u J n F 1 b 3 Q 7 L C Z x d W 9 0 O 1 B h Y X J k Z W 4 g Z W 4 v b 2 Y g a 2 9 l d H N l b i Z x d W 9 0 O y w m c X V v d D t U b 2 V s a W N o d G l u Z y 9 v c G 1 l c m t p b m d l b i Z x d W 9 0 O y w m c X V v d D t J b n p l b m R p b m c t S U Q m c X V v d D s s J n F 1 b 3 Q 7 S W 5 6 Z W 5 k Z G F 0 d W 0 m c X V v d D s s J n F 1 b 3 Q 7 R G F 0 Z S B V c G R h d G V k J n F 1 b 3 Q 7 L C Z x d W 9 0 O 0 5 h Y W 0 g d m F u I G h l d C B o b 2 9 m Z G t v c n B z J n F 1 b 3 Q 7 L C Z x d W 9 0 O 1 p h b C B v c C B 0 c m V k Z W 4 g Y W x z I C h o b 2 9 m Z G t v c n B z K S Z x d W 9 0 O y w m c X V v d D t W b 3 J t I H Z h b i B 0 d 2 V l I G 1 1 e m l l a 3 d l c m t l b i A o a G 9 v Z m R r b 3 J w c y k m c X V v d D s s J n F 1 b 3 Q 7 W m F s I H V p d G t v b W V u I G l u I G R l O i A o a G 9 v Z m R r b 3 J w c y k m c X V v d D s s J n F 1 b 3 Q 7 T X V 6 a W V r d 2 V y a z E g K G h v b 2 Z k a 2 9 y c H M p J n F 1 b 3 Q 7 L C Z x d W 9 0 O 0 1 1 e m l l a 3 d l c m s y I C h o b 2 9 m Z G t v c n B z K S Z x d W 9 0 O y w m c X V v d D t L b 3 J w c y B i Z X N 0 Y W F 0 I H V p d C A u L i 4 g Z G V l b G 5 l b W V y c y A o a G 9 v Z m R r b 3 J w c y k m c X V v d D s s J n F 1 b 3 Q 7 T m F h b S B 2 Y W 4 g a G V 0 I D J l I G t v c n B z J n F 1 b 3 Q 7 L C Z x d W 9 0 O 1 p h b C B v c C B 0 c m V k Z W 4 g Y W x z I C g y Z S B r b 3 J w c y k m c X V v d D s s J n F 1 b 3 Q 7 V m 9 y b S B 2 Y W 4 g d H d l Z S B t d X p p Z W t 3 Z X J r Z W 4 g K D J l I G t v c n B z K S Z x d W 9 0 O y w m c X V v d D t a Y W w g d W l 0 a 2 9 t Z W 4 g a W 4 g Z G U 6 I C g y Z S B r b 3 J w c y k m c X V v d D s s J n F 1 b 3 Q 7 T X V 6 a W V r d 2 V y a z E g K D J l I G t v c n B z K S Z x d W 9 0 O y w m c X V v d D t N d X p p Z W t 3 Z X J r M i A o M m U g a 2 9 y c H M p J n F 1 b 3 Q 7 L C Z x d W 9 0 O 0 t v c n B z I G J l c 3 R h Y X Q g d W l 0 I C 4 u L i B k Z W V s b m V t Z X J z I C g y Z S B r b 3 J w c y k m c X V v d D s s J n F 1 b 3 Q 7 T W V j a G F u a X N j a G U g b X V 6 a W V r J n F 1 b 3 Q 7 L C Z x d W 9 0 O 0 9 u Z G V y Z G V s Z W 4 m c X V v d D s s J n F 1 b 3 Q 7 U 2 V j d G l l c y Z x d W 9 0 O y w m c X V v d D t M Z W V m d G l q Z H N j Y X R l Z 2 9 y a W U m c X V v d D s s J n F 1 b 3 Q 7 Q W F u d G F s I G 9 w Z 2 V n Z X Z l b i B t Y W p v c m V 0 d G V z J n F 1 b 3 Q 7 X S I g L z 4 8 R W 5 0 c n k g V H l w Z T 0 i R m l s b E V y c m 9 y Q 2 9 k Z S I g V m F s d W U 9 I n N V b m t u b 3 d u I i A v P j x F b n R y e S B U e X B l P S J G a W x s U 3 R h d H V z I i B W Y W x 1 Z T 0 i c 0 N v b X B s Z X R l I i A v P j x F b n R y e S B U e X B l P S J G a W x s Q 2 9 1 b n Q i I F Z h b H V l P S J s M S I g L z 4 8 R W 5 0 c n k g V H l w Z T 0 i U m V s Y X R p b 2 5 z a G l w S W 5 m b 0 N v b n R h a W 5 l c i I g V m F s d W U 9 I n N 7 J n F 1 b 3 Q 7 Y 2 9 s d W 1 u Q 2 9 1 b n Q m c X V v d D s 6 N z U s J n F 1 b 3 Q 7 a 2 V 5 Q 2 9 s d W 1 u T m F t Z X M m c X V v d D s 6 W 1 0 s J n F 1 b 3 Q 7 c X V l c n l S Z W x h d G l v b n N o a X B z J n F 1 b 3 Q 7 O l t d L C Z x d W 9 0 O 2 N v b H V t b k l k Z W 5 0 a X R p Z X M m c X V v d D s 6 W y Z x d W 9 0 O 1 N l Y 3 R p b 2 4 x L 0 x K L 0 F 1 d G 9 S Z W 1 v d m V k Q 2 9 s d W 1 u c z E u e 0 t y a W 5 n Z G F n L D B 9 J n F 1 b 3 Q 7 L C Z x d W 9 0 O 1 N l Y 3 R p b 2 4 x L 0 x K L 0 F 1 d G 9 S Z W 1 v d m V k Q 2 9 s d W 1 u c z E u e 1 Z l c i 5 u c i w x f S Z x d W 9 0 O y w m c X V v d D t T Z W N 0 a W 9 u M S 9 M S i 9 B d X R v U m V t b 3 Z l Z E N v b H V t b n M x L n t O Y W F t I H Z l c m V u a W d p b m c s M n 0 m c X V v d D s s J n F 1 b 3 Q 7 U 2 V j d G l v b j E v T E o v Q X V 0 b 1 J l b W 9 2 Z W R D b 2 x 1 b W 5 z M S 5 7 R G V s Z W d h d G l l L D N 9 J n F 1 b 3 Q 7 L C Z x d W 9 0 O 1 N l Y 3 R p b 2 4 x L 0 x K L 0 F 1 d G 9 S Z W 1 v d m V k Q 2 9 s d W 1 u c z E u e 0 1 1 e m l l a 2 t v c n B z I G J p a i B t Y X J z I G V u I G R l Z m l s X H U w M E U 5 L D R 9 J n F 1 b 3 Q 7 L C Z x d W 9 0 O 1 N l Y 3 R p b 2 4 x L 0 x K L 0 F 1 d G 9 S Z W 1 v d m V k Q 2 9 s d W 1 u c z E u e 0 R l Z W x u L i B q Z X V n Z G t v b m l u Z 3 N j a G l l d G V u L D V 9 J n F 1 b 3 Q 7 L C Z x d W 9 0 O 1 N l Y 3 R p b 2 4 x L 0 x K L 0 F 1 d G 9 S Z W 1 v d m V k Q 2 9 s d W 1 u c z E u e 0 1 h a i 4 g U 2 V u a W 9 y Z W 4 g a n V y Z X J l b i B i a W o g b W F y c y w 2 f S Z x d W 9 0 O y w m c X V v d D t T Z W N 0 a W 9 u M S 9 M S i 9 B d X R v U m V t b 3 Z l Z E N v b H V t b n M x L n t N Y W o u I E p l d W d k I G p 1 c m V y Z W 4 g Y m l q I G 1 h c n M s N 3 0 m c X V v d D s s J n F 1 b 3 Q 7 U 2 V j d G l v b j E v T E o v Q X V 0 b 1 J l b W 9 2 Z W R D b 2 x 1 b W 5 z M S 5 7 S 2 9 y c H M g c 2 V u a W 9 y Z W 4 s O H 0 m c X V v d D s s J n F 1 b 3 Q 7 U 2 V j d G l v b j E v T E o v Q X V 0 b 1 J l b W 9 2 Z W R D b 2 x 1 b W 5 z M S 5 7 S n V u a W 9 y Z W 4 g a 2 9 y c H M g M S w 5 f S Z x d W 9 0 O y w m c X V v d D t T Z W N 0 a W 9 u M S 9 M S i 9 B d X R v U m V t b 3 Z l Z E N v b H V t b n M x L n t K d W 5 p b 3 J l b i B r b 3 J w c y A y L D E w f S Z x d W 9 0 O y w m c X V v d D t T Z W N 0 a W 9 u M S 9 M S i 9 B d X R v U m V t b 3 Z l Z E N v b H V t b n M x L n t B c 3 B p c m F u d G V u I G t v c n B z I D E s M T F 9 J n F 1 b 3 Q 7 L C Z x d W 9 0 O 1 N l Y 3 R p b 2 4 x L 0 x K L 0 F 1 d G 9 S Z W 1 v d m V k Q 2 9 s d W 1 u c z E u e 0 F z c G l y Y W 5 0 Z W 4 g a 2 9 y c H M g M i w x M n 0 m c X V v d D s s J n F 1 b 3 Q 7 U 2 V j d G l v b j E v T E o v Q X V 0 b 1 J l b W 9 2 Z W R D b 2 x 1 b W 5 z M S 5 7 Q W N y b 2 J h d G l z Y 2 g g c 2 V u a W 9 y Z W 4 s M T N 9 J n F 1 b 3 Q 7 L C Z x d W 9 0 O 1 N l Y 3 R p b 2 4 x L 0 x K L 0 F 1 d G 9 S Z W 1 v d m V k Q 2 9 s d W 1 u c z E u e 0 F j c m 9 i Y X R p c 2 N o I G p 1 b m l v c m V u L D E 0 f S Z x d W 9 0 O y w m c X V v d D t T Z W N 0 a W 9 u M S 9 M S i 9 B d X R v U m V t b 3 Z l Z E N v b H V t b n M x L n t B Y 3 J v Y m F 0 a X N j a C B h c 3 B p c m F u d G V u L D E 1 f S Z x d W 9 0 O y w m c X V v d D t T Z W N 0 a W 9 u M S 9 M S i 9 B d X R v U m V t b 3 Z l Z E N v b H V t b n M x L n t T a G 9 3 I H N l b m l v c m V u L D E 2 f S Z x d W 9 0 O y w m c X V v d D t T Z W N 0 a W 9 u M S 9 M S i 9 B d X R v U m V t b 3 Z l Z E N v b H V t b n M x L n t T a G 9 3 I G p 1 b m l v c m V u L D E 3 f S Z x d W 9 0 O y w m c X V v d D t T Z W N 0 a W 9 u M S 9 M S i 9 B d X R v U m V t b 3 Z l Z E N v b H V t b n M x L n t T a G 9 3 I G F z c G l y Y W 5 0 Z W 4 s M T h 9 J n F 1 b 3 Q 7 L C Z x d W 9 0 O 1 N l Y 3 R p b 2 4 x L 0 x K L 0 F 1 d G 9 S Z W 1 v d m V k Q 2 9 s d W 1 u c z E u e 1 N l b m l v c m V u I G l u Z G l 2 L i w x O X 0 m c X V v d D s s J n F 1 b 3 Q 7 U 2 V j d G l v b j E v T E o v Q X V 0 b 1 J l b W 9 2 Z W R D b 2 x 1 b W 5 z M S 5 7 S n V u a W 9 y Z W 4 g a W 5 k a X Y u L D I w f S Z x d W 9 0 O y w m c X V v d D t T Z W N 0 a W 9 u M S 9 M S i 9 B d X R v U m V t b 3 Z l Z E N v b H V t b n M x L n t B c 3 B p c m F u d G V u I G l u Z G l 2 L i w y M X 0 m c X V v d D s s J n F 1 b 3 Q 7 U 2 V j d G l v b j E v T E o v Q X V 0 b 1 J l b W 9 2 Z W R D b 2 x 1 b W 5 z M S 5 7 U 2 V u L i B p b m Q g b 3 B n Z W d l d m V u I G 5 h b W V u L D I y f S Z x d W 9 0 O y w m c X V v d D t T Z W N 0 a W 9 u M S 9 M S i 9 B d X R v U m V t b 3 Z l Z E N v b H V t b n M x L n t K d W 4 u I G l u Z C B v c G d l Z 2 V 2 Z W 4 g b m F t Z W 4 s M j N 9 J n F 1 b 3 Q 7 L C Z x d W 9 0 O 1 N l Y 3 R p b 2 4 x L 0 x K L 0 F 1 d G 9 S Z W 1 v d m V k Q 2 9 s d W 1 u c z E u e 0 F z c C 4 g a W 5 k I G 9 w Z 2 V n Z X Z l b i B u Y W 1 l b i w y N H 0 m c X V v d D s s J n F 1 b 3 Q 7 U 2 V j d G l v b j E v T E o v Q X V 0 b 1 J l b W 9 2 Z W R D b 2 x 1 b W 5 z M S 5 7 S G 9 v Z m R r b 3 J w c y w y N X 0 m c X V v d D s s J n F 1 b 3 Q 7 U 2 V j d G l v b j E v T E o v Q X V 0 b 1 J l b W 9 2 Z W R D b 2 x 1 b W 5 z M S 5 7 M m U g a 2 9 y c H M s M j Z 9 J n F 1 b 3 Q 7 L C Z x d W 9 0 O 1 N l Y 3 R p b 2 4 x L 0 x K L 0 F 1 d G 9 S Z W 1 v d m V k Q 2 9 s d W 1 u c z E u e 0 d y b 2 V w Z W 4 s I H R l Y W 1 z L C B l b n N l b W J s Z X M g Z W 4 g Z H V v X H U w M D I 3 c y w y N 3 0 m c X V v d D s s J n F 1 b 3 Q 7 U 2 V j d G l v b j E v T E o v Q X V 0 b 1 J l b W 9 2 Z W R D b 2 x 1 b W 5 z M S 5 7 U 2 V u a W 9 y Z W 4 s M j h 9 J n F 1 b 3 Q 7 L C Z x d W 9 0 O 1 N l Y 3 R p b 2 4 x L 0 x K L 0 F 1 d G 9 S Z W 1 v d m V k Q 2 9 s d W 1 u c z E u e 0 p v b m c g d m 9 s d 2 F z c 2 V u Z S w y O X 0 m c X V v d D s s J n F 1 b 3 Q 7 U 2 V j d G l v b j E v T E o v Q X V 0 b 1 J l b W 9 2 Z W R D b 2 x 1 b W 5 z M S 5 7 S n V u a W 9 y Z W 4 s M z B 9 J n F 1 b 3 Q 7 L C Z x d W 9 0 O 1 N l Y 3 R p b 2 4 x L 0 x K L 0 F 1 d G 9 S Z W 1 v d m V k Q 2 9 s d W 1 u c z E u e 0 F z c G l y Y W 5 0 Z W 4 s M z F 9 J n F 1 b 3 Q 7 L C Z x d W 9 0 O 1 N l Y 3 R p b 2 4 x L 0 x K L 0 F 1 d G 9 S Z W 1 v d m V k Q 2 9 s d W 1 u c z E u e 0 9 w Z 2 V n Z X Z l b i B z Z W 5 p b 3 J l b i w z M n 0 m c X V v d D s s J n F 1 b 3 Q 7 U 2 V j d G l v b j E v T E o v Q X V 0 b 1 J l b W 9 2 Z W R D b 2 x 1 b W 5 z M S 5 7 T 3 B n Z W d l d m V u I G p v b m c g d m 9 s d 2 F z c 2 V u Z S w z M 3 0 m c X V v d D s s J n F 1 b 3 Q 7 U 2 V j d G l v b j E v T E o v Q X V 0 b 1 J l b W 9 2 Z W R D b 2 x 1 b W 5 z M S 5 7 T 3 B n Z W d l d m V u I G p 1 b m l v c m V u L D M 0 f S Z x d W 9 0 O y w m c X V v d D t T Z W N 0 a W 9 u M S 9 M S i 9 B d X R v U m V t b 3 Z l Z E N v b H V t b n M x L n t P c G d l Z 2 V 2 Z W 4 g Y X N w a X J h b n R l b i w z N X 0 m c X V v d D s s J n F 1 b 3 Q 7 U 2 V j d G l v b j E v T E o v Q X V 0 b 1 J l b W 9 2 Z W R D b 2 x 1 b W 5 z M S 5 7 T W F y a 2 V 0 Z W 5 0 c 3 R l c n M s M z Z 9 J n F 1 b 3 Q 7 L C Z x d W 9 0 O 1 N l Y 3 R p b 2 4 x L 0 x K L 0 F 1 d G 9 S Z W 1 v d m V k Q 2 9 s d W 1 u c z E u e 0 x 1 Y 2 h 0 Z 2 V 3 Z W V y L D M 3 f S Z x d W 9 0 O y w m c X V v d D t T Z W N 0 a W 9 u M S 9 M S i 9 B d X R v U m V t b 3 Z l Z E N v b H V t b n M x L n t B Y W 5 0 Y W w g b H V j a H R n Z X d l Z X J z Y 2 h 1 d H R l c n M s M z h 9 J n F 1 b 3 Q 7 L C Z x d W 9 0 O 1 N l Y 3 R p b 2 4 x L 0 x K L 0 F 1 d G 9 S Z W 1 v d m V k Q 2 9 s d W 1 u c z E u e 0 x 1 Y 2 h 0 c G l z d G 9 v b C w z O X 0 m c X V v d D s s J n F 1 b 3 Q 7 U 2 V j d G l v b j E v T E o v Q X V 0 b 1 J l b W 9 2 Z W R D b 2 x 1 b W 5 z M S 5 7 Q W F u d G F s I G x 1 Y 2 h 0 c G l z d G 9 v b H N j a H V 0 d G V y c y w 0 M H 0 m c X V v d D s s J n F 1 b 3 Q 7 U 2 V j d G l v b j E v T E o v Q X V 0 b 1 J l b W 9 2 Z W R D b 2 x 1 b W 5 z M S 5 7 S G F u Z G J v b 2 c s N D F 9 J n F 1 b 3 Q 7 L C Z x d W 9 0 O 1 N l Y 3 R p b 2 4 x L 0 x K L 0 F 1 d G 9 S Z W 1 v d m V k Q 2 9 s d W 1 u c z E u e 0 F h b n R h b C B o Y W 5 k Y m 9 v Z 3 N j a H V 0 d G V y c y w 0 M n 0 m c X V v d D s s J n F 1 b 3 Q 7 U 2 V j d G l v b j E v T E o v Q X V 0 b 1 J l b W 9 2 Z W R D b 2 x 1 b W 5 z M S 5 7 S 3 J 1 a X N i b 2 9 n L D Q z f S Z x d W 9 0 O y w m c X V v d D t T Z W N 0 a W 9 u M S 9 M S i 9 B d X R v U m V t b 3 Z l Z E N v b H V t b n M x L n t B Y W 5 0 Y W w g a 3 J 1 a X N i b 2 9 n c 2 N o d X R 0 Z X J z L D Q 0 f S Z x d W 9 0 O y w m c X V v d D t T Z W N 0 a W 9 u M S 9 M S i 9 B d X R v U m V t b 3 Z l Z E N v b H V t b n M x L n t M d W N o d G d l d 2 V l c i B q Z X V n Z C B u a W V 0 I G 9 1 Z G V y I G R h b i A x N y B q Y W F y L i w 0 N X 0 m c X V v d D s s J n F 1 b 3 Q 7 U 2 V j d G l v b j E v T E o v Q X V 0 b 1 J l b W 9 2 Z W R D b 2 x 1 b W 5 z M S 5 7 Q W F u d G F s I G t v c n B z Z W 4 s N D Z 9 J n F 1 b 3 Q 7 L C Z x d W 9 0 O 1 N l Y 3 R p b 2 4 x L 0 x K L 0 F 1 d G 9 S Z W 1 v d m V k Q 2 9 s d W 1 u c z E u e 0 9 w Z 2 V n Z X Z l b i B q Z X V n Z G t v c n B z Z W 4 g T E c s N D d 9 J n F 1 b 3 Q 7 L C Z x d W 9 0 O 1 N l Y 3 R p b 2 4 x L 0 x K L 0 F 1 d G 9 S Z W 1 v d m V k Q 2 9 s d W 1 u c z E u e 1 R v d G F h b C B h Y W 5 0 Y W w g Z G V l b G 5 l b W V y c y w 0 O H 0 m c X V v d D s s J n F 1 b 3 Q 7 U 2 V j d G l v b j E v T E o v Q X V 0 b 1 J l b W 9 2 Z W R D b 2 x 1 b W 5 z M S 5 7 V 2 F h c n Z h b i B h Y W 5 0 Y W w g a m V 1 Z 2 Q g K H Q v b S A x N S B q Y W F y K S w 0 O X 0 m c X V v d D s s J n F 1 b 3 Q 7 U 2 V j d G l v b j E v T E o v Q X V 0 b 1 J l b W 9 2 Z W R D b 2 x 1 b W 5 z M S 5 7 S 2 F u b 2 4 g Z X R j L i w 1 M H 0 m c X V v d D s s J n F 1 b 3 Q 7 U 2 V j d G l v b j E v T E o v Q X V 0 b 1 J l b W 9 2 Z W R D b 2 x 1 b W 5 z M S 5 7 U G F h c m R l b i B l b i 9 v Z i B r b 2 V 0 c 2 V u L D U x f S Z x d W 9 0 O y w m c X V v d D t T Z W N 0 a W 9 u M S 9 M S i 9 B d X R v U m V t b 3 Z l Z E N v b H V t b n M x L n t U b 2 V s a W N o d G l u Z y 9 v c G 1 l c m t p b m d l b i w 1 M n 0 m c X V v d D s s J n F 1 b 3 Q 7 U 2 V j d G l v b j E v T E o v Q X V 0 b 1 J l b W 9 2 Z W R D b 2 x 1 b W 5 z M S 5 7 S W 5 6 Z W 5 k a W 5 n L U l E L D U z f S Z x d W 9 0 O y w m c X V v d D t T Z W N 0 a W 9 u M S 9 M S i 9 B d X R v U m V t b 3 Z l Z E N v b H V t b n M x L n t J b n p l b m R k Y X R 1 b S w 1 N H 0 m c X V v d D s s J n F 1 b 3 Q 7 U 2 V j d G l v b j E v T E o v Q X V 0 b 1 J l b W 9 2 Z W R D b 2 x 1 b W 5 z M S 5 7 R G F 0 Z S B V c G R h d G V k L D U 1 f S Z x d W 9 0 O y w m c X V v d D t T Z W N 0 a W 9 u M S 9 M S i 9 B d X R v U m V t b 3 Z l Z E N v b H V t b n M x L n t O Y W F t I H Z h b i B o Z X Q g a G 9 v Z m R r b 3 J w c y w 1 N n 0 m c X V v d D s s J n F 1 b 3 Q 7 U 2 V j d G l v b j E v T E o v Q X V 0 b 1 J l b W 9 2 Z W R D b 2 x 1 b W 5 z M S 5 7 W m F s I G 9 w I H R y Z W R l b i B h b H M g K G h v b 2 Z k a 2 9 y c H M p L D U 3 f S Z x d W 9 0 O y w m c X V v d D t T Z W N 0 a W 9 u M S 9 M S i 9 B d X R v U m V t b 3 Z l Z E N v b H V t b n M x L n t W b 3 J t I H Z h b i B 0 d 2 V l I G 1 1 e m l l a 3 d l c m t l b i A o a G 9 v Z m R r b 3 J w c y k s N T h 9 J n F 1 b 3 Q 7 L C Z x d W 9 0 O 1 N l Y 3 R p b 2 4 x L 0 x K L 0 F 1 d G 9 S Z W 1 v d m V k Q 2 9 s d W 1 u c z E u e 1 p h b C B 1 a X R r b 2 1 l b i B p b i B k Z T o g K G h v b 2 Z k a 2 9 y c H M p L D U 5 f S Z x d W 9 0 O y w m c X V v d D t T Z W N 0 a W 9 u M S 9 M S i 9 B d X R v U m V t b 3 Z l Z E N v b H V t b n M x L n t N d X p p Z W t 3 Z X J r M S A o a G 9 v Z m R r b 3 J w c y k s N j B 9 J n F 1 b 3 Q 7 L C Z x d W 9 0 O 1 N l Y 3 R p b 2 4 x L 0 x K L 0 F 1 d G 9 S Z W 1 v d m V k Q 2 9 s d W 1 u c z E u e 0 1 1 e m l l a 3 d l c m s y I C h o b 2 9 m Z G t v c n B z K S w 2 M X 0 m c X V v d D s s J n F 1 b 3 Q 7 U 2 V j d G l v b j E v T E o v Q X V 0 b 1 J l b W 9 2 Z W R D b 2 x 1 b W 5 z M S 5 7 S 2 9 y c H M g Y m V z d G F h d C B 1 a X Q g L i 4 u I G R l Z W x u Z W 1 l c n M g K G h v b 2 Z k a 2 9 y c H M p L D Y y f S Z x d W 9 0 O y w m c X V v d D t T Z W N 0 a W 9 u M S 9 M S i 9 B d X R v U m V t b 3 Z l Z E N v b H V t b n M x L n t O Y W F t I H Z h b i B o Z X Q g M m U g a 2 9 y c H M s N j N 9 J n F 1 b 3 Q 7 L C Z x d W 9 0 O 1 N l Y 3 R p b 2 4 x L 0 x K L 0 F 1 d G 9 S Z W 1 v d m V k Q 2 9 s d W 1 u c z E u e 1 p h b C B v c C B 0 c m V k Z W 4 g Y W x z I C g y Z S B r b 3 J w c y k s N j R 9 J n F 1 b 3 Q 7 L C Z x d W 9 0 O 1 N l Y 3 R p b 2 4 x L 0 x K L 0 F 1 d G 9 S Z W 1 v d m V k Q 2 9 s d W 1 u c z E u e 1 Z v c m 0 g d m F u I H R 3 Z W U g b X V 6 a W V r d 2 V y a 2 V u I C g y Z S B r b 3 J w c y k s N j V 9 J n F 1 b 3 Q 7 L C Z x d W 9 0 O 1 N l Y 3 R p b 2 4 x L 0 x K L 0 F 1 d G 9 S Z W 1 v d m V k Q 2 9 s d W 1 u c z E u e 1 p h b C B 1 a X R r b 2 1 l b i B p b i B k Z T o g K D J l I G t v c n B z K S w 2 N n 0 m c X V v d D s s J n F 1 b 3 Q 7 U 2 V j d G l v b j E v T E o v Q X V 0 b 1 J l b W 9 2 Z W R D b 2 x 1 b W 5 z M S 5 7 T X V 6 a W V r d 2 V y a z E g K D J l I G t v c n B z K S w 2 N 3 0 m c X V v d D s s J n F 1 b 3 Q 7 U 2 V j d G l v b j E v T E o v Q X V 0 b 1 J l b W 9 2 Z W R D b 2 x 1 b W 5 z M S 5 7 T X V 6 a W V r d 2 V y a z I g K D J l I G t v c n B z K S w 2 O H 0 m c X V v d D s s J n F 1 b 3 Q 7 U 2 V j d G l v b j E v T E o v Q X V 0 b 1 J l b W 9 2 Z W R D b 2 x 1 b W 5 z M S 5 7 S 2 9 y c H M g Y m V z d G F h d C B 1 a X Q g L i 4 u I G R l Z W x u Z W 1 l c n M g K D J l I G t v c n B z K S w 2 O X 0 m c X V v d D s s J n F 1 b 3 Q 7 U 2 V j d G l v b j E v T E o v Q X V 0 b 1 J l b W 9 2 Z W R D b 2 x 1 b W 5 z M S 5 7 T W V j a G F u a X N j a G U g b X V 6 a W V r L D c w f S Z x d W 9 0 O y w m c X V v d D t T Z W N 0 a W 9 u M S 9 M S i 9 B d X R v U m V t b 3 Z l Z E N v b H V t b n M x L n t P b m R l c m R l b G V u L D c x f S Z x d W 9 0 O y w m c X V v d D t T Z W N 0 a W 9 u M S 9 M S i 9 B d X R v U m V t b 3 Z l Z E N v b H V t b n M x L n t T Z W N 0 a W V z L D c y f S Z x d W 9 0 O y w m c X V v d D t T Z W N 0 a W 9 u M S 9 M S i 9 B d X R v U m V t b 3 Z l Z E N v b H V t b n M x L n t M Z W V m d G l q Z H N j Y X R l Z 2 9 y a W U s N z N 9 J n F 1 b 3 Q 7 L C Z x d W 9 0 O 1 N l Y 3 R p b 2 4 x L 0 x K L 0 F 1 d G 9 S Z W 1 v d m V k Q 2 9 s d W 1 u c z E u e 0 F h b n R h b C B v c G d l Z 2 V 2 Z W 4 g b W F q b 3 J l d H R l c y w 3 N H 0 m c X V v d D t d L C Z x d W 9 0 O 0 N v b H V t b k N v d W 5 0 J n F 1 b 3 Q 7 O j c 1 L C Z x d W 9 0 O 0 t l e U N v b H V t b k 5 h b W V z J n F 1 b 3 Q 7 O l t d L C Z x d W 9 0 O 0 N v b H V t b k l k Z W 5 0 a X R p Z X M m c X V v d D s 6 W y Z x d W 9 0 O 1 N l Y 3 R p b 2 4 x L 0 x K L 0 F 1 d G 9 S Z W 1 v d m V k Q 2 9 s d W 1 u c z E u e 0 t y a W 5 n Z G F n L D B 9 J n F 1 b 3 Q 7 L C Z x d W 9 0 O 1 N l Y 3 R p b 2 4 x L 0 x K L 0 F 1 d G 9 S Z W 1 v d m V k Q 2 9 s d W 1 u c z E u e 1 Z l c i 5 u c i w x f S Z x d W 9 0 O y w m c X V v d D t T Z W N 0 a W 9 u M S 9 M S i 9 B d X R v U m V t b 3 Z l Z E N v b H V t b n M x L n t O Y W F t I H Z l c m V u a W d p b m c s M n 0 m c X V v d D s s J n F 1 b 3 Q 7 U 2 V j d G l v b j E v T E o v Q X V 0 b 1 J l b W 9 2 Z W R D b 2 x 1 b W 5 z M S 5 7 R G V s Z W d h d G l l L D N 9 J n F 1 b 3 Q 7 L C Z x d W 9 0 O 1 N l Y 3 R p b 2 4 x L 0 x K L 0 F 1 d G 9 S Z W 1 v d m V k Q 2 9 s d W 1 u c z E u e 0 1 1 e m l l a 2 t v c n B z I G J p a i B t Y X J z I G V u I G R l Z m l s X H U w M E U 5 L D R 9 J n F 1 b 3 Q 7 L C Z x d W 9 0 O 1 N l Y 3 R p b 2 4 x L 0 x K L 0 F 1 d G 9 S Z W 1 v d m V k Q 2 9 s d W 1 u c z E u e 0 R l Z W x u L i B q Z X V n Z G t v b m l u Z 3 N j a G l l d G V u L D V 9 J n F 1 b 3 Q 7 L C Z x d W 9 0 O 1 N l Y 3 R p b 2 4 x L 0 x K L 0 F 1 d G 9 S Z W 1 v d m V k Q 2 9 s d W 1 u c z E u e 0 1 h a i 4 g U 2 V u a W 9 y Z W 4 g a n V y Z X J l b i B i a W o g b W F y c y w 2 f S Z x d W 9 0 O y w m c X V v d D t T Z W N 0 a W 9 u M S 9 M S i 9 B d X R v U m V t b 3 Z l Z E N v b H V t b n M x L n t N Y W o u I E p l d W d k I G p 1 c m V y Z W 4 g Y m l q I G 1 h c n M s N 3 0 m c X V v d D s s J n F 1 b 3 Q 7 U 2 V j d G l v b j E v T E o v Q X V 0 b 1 J l b W 9 2 Z W R D b 2 x 1 b W 5 z M S 5 7 S 2 9 y c H M g c 2 V u a W 9 y Z W 4 s O H 0 m c X V v d D s s J n F 1 b 3 Q 7 U 2 V j d G l v b j E v T E o v Q X V 0 b 1 J l b W 9 2 Z W R D b 2 x 1 b W 5 z M S 5 7 S n V u a W 9 y Z W 4 g a 2 9 y c H M g M S w 5 f S Z x d W 9 0 O y w m c X V v d D t T Z W N 0 a W 9 u M S 9 M S i 9 B d X R v U m V t b 3 Z l Z E N v b H V t b n M x L n t K d W 5 p b 3 J l b i B r b 3 J w c y A y L D E w f S Z x d W 9 0 O y w m c X V v d D t T Z W N 0 a W 9 u M S 9 M S i 9 B d X R v U m V t b 3 Z l Z E N v b H V t b n M x L n t B c 3 B p c m F u d G V u I G t v c n B z I D E s M T F 9 J n F 1 b 3 Q 7 L C Z x d W 9 0 O 1 N l Y 3 R p b 2 4 x L 0 x K L 0 F 1 d G 9 S Z W 1 v d m V k Q 2 9 s d W 1 u c z E u e 0 F z c G l y Y W 5 0 Z W 4 g a 2 9 y c H M g M i w x M n 0 m c X V v d D s s J n F 1 b 3 Q 7 U 2 V j d G l v b j E v T E o v Q X V 0 b 1 J l b W 9 2 Z W R D b 2 x 1 b W 5 z M S 5 7 Q W N y b 2 J h d G l z Y 2 g g c 2 V u a W 9 y Z W 4 s M T N 9 J n F 1 b 3 Q 7 L C Z x d W 9 0 O 1 N l Y 3 R p b 2 4 x L 0 x K L 0 F 1 d G 9 S Z W 1 v d m V k Q 2 9 s d W 1 u c z E u e 0 F j c m 9 i Y X R p c 2 N o I G p 1 b m l v c m V u L D E 0 f S Z x d W 9 0 O y w m c X V v d D t T Z W N 0 a W 9 u M S 9 M S i 9 B d X R v U m V t b 3 Z l Z E N v b H V t b n M x L n t B Y 3 J v Y m F 0 a X N j a C B h c 3 B p c m F u d G V u L D E 1 f S Z x d W 9 0 O y w m c X V v d D t T Z W N 0 a W 9 u M S 9 M S i 9 B d X R v U m V t b 3 Z l Z E N v b H V t b n M x L n t T a G 9 3 I H N l b m l v c m V u L D E 2 f S Z x d W 9 0 O y w m c X V v d D t T Z W N 0 a W 9 u M S 9 M S i 9 B d X R v U m V t b 3 Z l Z E N v b H V t b n M x L n t T a G 9 3 I G p 1 b m l v c m V u L D E 3 f S Z x d W 9 0 O y w m c X V v d D t T Z W N 0 a W 9 u M S 9 M S i 9 B d X R v U m V t b 3 Z l Z E N v b H V t b n M x L n t T a G 9 3 I G F z c G l y Y W 5 0 Z W 4 s M T h 9 J n F 1 b 3 Q 7 L C Z x d W 9 0 O 1 N l Y 3 R p b 2 4 x L 0 x K L 0 F 1 d G 9 S Z W 1 v d m V k Q 2 9 s d W 1 u c z E u e 1 N l b m l v c m V u I G l u Z G l 2 L i w x O X 0 m c X V v d D s s J n F 1 b 3 Q 7 U 2 V j d G l v b j E v T E o v Q X V 0 b 1 J l b W 9 2 Z W R D b 2 x 1 b W 5 z M S 5 7 S n V u a W 9 y Z W 4 g a W 5 k a X Y u L D I w f S Z x d W 9 0 O y w m c X V v d D t T Z W N 0 a W 9 u M S 9 M S i 9 B d X R v U m V t b 3 Z l Z E N v b H V t b n M x L n t B c 3 B p c m F u d G V u I G l u Z G l 2 L i w y M X 0 m c X V v d D s s J n F 1 b 3 Q 7 U 2 V j d G l v b j E v T E o v Q X V 0 b 1 J l b W 9 2 Z W R D b 2 x 1 b W 5 z M S 5 7 U 2 V u L i B p b m Q g b 3 B n Z W d l d m V u I G 5 h b W V u L D I y f S Z x d W 9 0 O y w m c X V v d D t T Z W N 0 a W 9 u M S 9 M S i 9 B d X R v U m V t b 3 Z l Z E N v b H V t b n M x L n t K d W 4 u I G l u Z C B v c G d l Z 2 V 2 Z W 4 g b m F t Z W 4 s M j N 9 J n F 1 b 3 Q 7 L C Z x d W 9 0 O 1 N l Y 3 R p b 2 4 x L 0 x K L 0 F 1 d G 9 S Z W 1 v d m V k Q 2 9 s d W 1 u c z E u e 0 F z c C 4 g a W 5 k I G 9 w Z 2 V n Z X Z l b i B u Y W 1 l b i w y N H 0 m c X V v d D s s J n F 1 b 3 Q 7 U 2 V j d G l v b j E v T E o v Q X V 0 b 1 J l b W 9 2 Z W R D b 2 x 1 b W 5 z M S 5 7 S G 9 v Z m R r b 3 J w c y w y N X 0 m c X V v d D s s J n F 1 b 3 Q 7 U 2 V j d G l v b j E v T E o v Q X V 0 b 1 J l b W 9 2 Z W R D b 2 x 1 b W 5 z M S 5 7 M m U g a 2 9 y c H M s M j Z 9 J n F 1 b 3 Q 7 L C Z x d W 9 0 O 1 N l Y 3 R p b 2 4 x L 0 x K L 0 F 1 d G 9 S Z W 1 v d m V k Q 2 9 s d W 1 u c z E u e 0 d y b 2 V w Z W 4 s I H R l Y W 1 z L C B l b n N l b W J s Z X M g Z W 4 g Z H V v X H U w M D I 3 c y w y N 3 0 m c X V v d D s s J n F 1 b 3 Q 7 U 2 V j d G l v b j E v T E o v Q X V 0 b 1 J l b W 9 2 Z W R D b 2 x 1 b W 5 z M S 5 7 U 2 V u a W 9 y Z W 4 s M j h 9 J n F 1 b 3 Q 7 L C Z x d W 9 0 O 1 N l Y 3 R p b 2 4 x L 0 x K L 0 F 1 d G 9 S Z W 1 v d m V k Q 2 9 s d W 1 u c z E u e 0 p v b m c g d m 9 s d 2 F z c 2 V u Z S w y O X 0 m c X V v d D s s J n F 1 b 3 Q 7 U 2 V j d G l v b j E v T E o v Q X V 0 b 1 J l b W 9 2 Z W R D b 2 x 1 b W 5 z M S 5 7 S n V u a W 9 y Z W 4 s M z B 9 J n F 1 b 3 Q 7 L C Z x d W 9 0 O 1 N l Y 3 R p b 2 4 x L 0 x K L 0 F 1 d G 9 S Z W 1 v d m V k Q 2 9 s d W 1 u c z E u e 0 F z c G l y Y W 5 0 Z W 4 s M z F 9 J n F 1 b 3 Q 7 L C Z x d W 9 0 O 1 N l Y 3 R p b 2 4 x L 0 x K L 0 F 1 d G 9 S Z W 1 v d m V k Q 2 9 s d W 1 u c z E u e 0 9 w Z 2 V n Z X Z l b i B z Z W 5 p b 3 J l b i w z M n 0 m c X V v d D s s J n F 1 b 3 Q 7 U 2 V j d G l v b j E v T E o v Q X V 0 b 1 J l b W 9 2 Z W R D b 2 x 1 b W 5 z M S 5 7 T 3 B n Z W d l d m V u I G p v b m c g d m 9 s d 2 F z c 2 V u Z S w z M 3 0 m c X V v d D s s J n F 1 b 3 Q 7 U 2 V j d G l v b j E v T E o v Q X V 0 b 1 J l b W 9 2 Z W R D b 2 x 1 b W 5 z M S 5 7 T 3 B n Z W d l d m V u I G p 1 b m l v c m V u L D M 0 f S Z x d W 9 0 O y w m c X V v d D t T Z W N 0 a W 9 u M S 9 M S i 9 B d X R v U m V t b 3 Z l Z E N v b H V t b n M x L n t P c G d l Z 2 V 2 Z W 4 g Y X N w a X J h b n R l b i w z N X 0 m c X V v d D s s J n F 1 b 3 Q 7 U 2 V j d G l v b j E v T E o v Q X V 0 b 1 J l b W 9 2 Z W R D b 2 x 1 b W 5 z M S 5 7 T W F y a 2 V 0 Z W 5 0 c 3 R l c n M s M z Z 9 J n F 1 b 3 Q 7 L C Z x d W 9 0 O 1 N l Y 3 R p b 2 4 x L 0 x K L 0 F 1 d G 9 S Z W 1 v d m V k Q 2 9 s d W 1 u c z E u e 0 x 1 Y 2 h 0 Z 2 V 3 Z W V y L D M 3 f S Z x d W 9 0 O y w m c X V v d D t T Z W N 0 a W 9 u M S 9 M S i 9 B d X R v U m V t b 3 Z l Z E N v b H V t b n M x L n t B Y W 5 0 Y W w g b H V j a H R n Z X d l Z X J z Y 2 h 1 d H R l c n M s M z h 9 J n F 1 b 3 Q 7 L C Z x d W 9 0 O 1 N l Y 3 R p b 2 4 x L 0 x K L 0 F 1 d G 9 S Z W 1 v d m V k Q 2 9 s d W 1 u c z E u e 0 x 1 Y 2 h 0 c G l z d G 9 v b C w z O X 0 m c X V v d D s s J n F 1 b 3 Q 7 U 2 V j d G l v b j E v T E o v Q X V 0 b 1 J l b W 9 2 Z W R D b 2 x 1 b W 5 z M S 5 7 Q W F u d G F s I G x 1 Y 2 h 0 c G l z d G 9 v b H N j a H V 0 d G V y c y w 0 M H 0 m c X V v d D s s J n F 1 b 3 Q 7 U 2 V j d G l v b j E v T E o v Q X V 0 b 1 J l b W 9 2 Z W R D b 2 x 1 b W 5 z M S 5 7 S G F u Z G J v b 2 c s N D F 9 J n F 1 b 3 Q 7 L C Z x d W 9 0 O 1 N l Y 3 R p b 2 4 x L 0 x K L 0 F 1 d G 9 S Z W 1 v d m V k Q 2 9 s d W 1 u c z E u e 0 F h b n R h b C B o Y W 5 k Y m 9 v Z 3 N j a H V 0 d G V y c y w 0 M n 0 m c X V v d D s s J n F 1 b 3 Q 7 U 2 V j d G l v b j E v T E o v Q X V 0 b 1 J l b W 9 2 Z W R D b 2 x 1 b W 5 z M S 5 7 S 3 J 1 a X N i b 2 9 n L D Q z f S Z x d W 9 0 O y w m c X V v d D t T Z W N 0 a W 9 u M S 9 M S i 9 B d X R v U m V t b 3 Z l Z E N v b H V t b n M x L n t B Y W 5 0 Y W w g a 3 J 1 a X N i b 2 9 n c 2 N o d X R 0 Z X J z L D Q 0 f S Z x d W 9 0 O y w m c X V v d D t T Z W N 0 a W 9 u M S 9 M S i 9 B d X R v U m V t b 3 Z l Z E N v b H V t b n M x L n t M d W N o d G d l d 2 V l c i B q Z X V n Z C B u a W V 0 I G 9 1 Z G V y I G R h b i A x N y B q Y W F y L i w 0 N X 0 m c X V v d D s s J n F 1 b 3 Q 7 U 2 V j d G l v b j E v T E o v Q X V 0 b 1 J l b W 9 2 Z W R D b 2 x 1 b W 5 z M S 5 7 Q W F u d G F s I G t v c n B z Z W 4 s N D Z 9 J n F 1 b 3 Q 7 L C Z x d W 9 0 O 1 N l Y 3 R p b 2 4 x L 0 x K L 0 F 1 d G 9 S Z W 1 v d m V k Q 2 9 s d W 1 u c z E u e 0 9 w Z 2 V n Z X Z l b i B q Z X V n Z G t v c n B z Z W 4 g T E c s N D d 9 J n F 1 b 3 Q 7 L C Z x d W 9 0 O 1 N l Y 3 R p b 2 4 x L 0 x K L 0 F 1 d G 9 S Z W 1 v d m V k Q 2 9 s d W 1 u c z E u e 1 R v d G F h b C B h Y W 5 0 Y W w g Z G V l b G 5 l b W V y c y w 0 O H 0 m c X V v d D s s J n F 1 b 3 Q 7 U 2 V j d G l v b j E v T E o v Q X V 0 b 1 J l b W 9 2 Z W R D b 2 x 1 b W 5 z M S 5 7 V 2 F h c n Z h b i B h Y W 5 0 Y W w g a m V 1 Z 2 Q g K H Q v b S A x N S B q Y W F y K S w 0 O X 0 m c X V v d D s s J n F 1 b 3 Q 7 U 2 V j d G l v b j E v T E o v Q X V 0 b 1 J l b W 9 2 Z W R D b 2 x 1 b W 5 z M S 5 7 S 2 F u b 2 4 g Z X R j L i w 1 M H 0 m c X V v d D s s J n F 1 b 3 Q 7 U 2 V j d G l v b j E v T E o v Q X V 0 b 1 J l b W 9 2 Z W R D b 2 x 1 b W 5 z M S 5 7 U G F h c m R l b i B l b i 9 v Z i B r b 2 V 0 c 2 V u L D U x f S Z x d W 9 0 O y w m c X V v d D t T Z W N 0 a W 9 u M S 9 M S i 9 B d X R v U m V t b 3 Z l Z E N v b H V t b n M x L n t U b 2 V s a W N o d G l u Z y 9 v c G 1 l c m t p b m d l b i w 1 M n 0 m c X V v d D s s J n F 1 b 3 Q 7 U 2 V j d G l v b j E v T E o v Q X V 0 b 1 J l b W 9 2 Z W R D b 2 x 1 b W 5 z M S 5 7 S W 5 6 Z W 5 k a W 5 n L U l E L D U z f S Z x d W 9 0 O y w m c X V v d D t T Z W N 0 a W 9 u M S 9 M S i 9 B d X R v U m V t b 3 Z l Z E N v b H V t b n M x L n t J b n p l b m R k Y X R 1 b S w 1 N H 0 m c X V v d D s s J n F 1 b 3 Q 7 U 2 V j d G l v b j E v T E o v Q X V 0 b 1 J l b W 9 2 Z W R D b 2 x 1 b W 5 z M S 5 7 R G F 0 Z S B V c G R h d G V k L D U 1 f S Z x d W 9 0 O y w m c X V v d D t T Z W N 0 a W 9 u M S 9 M S i 9 B d X R v U m V t b 3 Z l Z E N v b H V t b n M x L n t O Y W F t I H Z h b i B o Z X Q g a G 9 v Z m R r b 3 J w c y w 1 N n 0 m c X V v d D s s J n F 1 b 3 Q 7 U 2 V j d G l v b j E v T E o v Q X V 0 b 1 J l b W 9 2 Z W R D b 2 x 1 b W 5 z M S 5 7 W m F s I G 9 w I H R y Z W R l b i B h b H M g K G h v b 2 Z k a 2 9 y c H M p L D U 3 f S Z x d W 9 0 O y w m c X V v d D t T Z W N 0 a W 9 u M S 9 M S i 9 B d X R v U m V t b 3 Z l Z E N v b H V t b n M x L n t W b 3 J t I H Z h b i B 0 d 2 V l I G 1 1 e m l l a 3 d l c m t l b i A o a G 9 v Z m R r b 3 J w c y k s N T h 9 J n F 1 b 3 Q 7 L C Z x d W 9 0 O 1 N l Y 3 R p b 2 4 x L 0 x K L 0 F 1 d G 9 S Z W 1 v d m V k Q 2 9 s d W 1 u c z E u e 1 p h b C B 1 a X R r b 2 1 l b i B p b i B k Z T o g K G h v b 2 Z k a 2 9 y c H M p L D U 5 f S Z x d W 9 0 O y w m c X V v d D t T Z W N 0 a W 9 u M S 9 M S i 9 B d X R v U m V t b 3 Z l Z E N v b H V t b n M x L n t N d X p p Z W t 3 Z X J r M S A o a G 9 v Z m R r b 3 J w c y k s N j B 9 J n F 1 b 3 Q 7 L C Z x d W 9 0 O 1 N l Y 3 R p b 2 4 x L 0 x K L 0 F 1 d G 9 S Z W 1 v d m V k Q 2 9 s d W 1 u c z E u e 0 1 1 e m l l a 3 d l c m s y I C h o b 2 9 m Z G t v c n B z K S w 2 M X 0 m c X V v d D s s J n F 1 b 3 Q 7 U 2 V j d G l v b j E v T E o v Q X V 0 b 1 J l b W 9 2 Z W R D b 2 x 1 b W 5 z M S 5 7 S 2 9 y c H M g Y m V z d G F h d C B 1 a X Q g L i 4 u I G R l Z W x u Z W 1 l c n M g K G h v b 2 Z k a 2 9 y c H M p L D Y y f S Z x d W 9 0 O y w m c X V v d D t T Z W N 0 a W 9 u M S 9 M S i 9 B d X R v U m V t b 3 Z l Z E N v b H V t b n M x L n t O Y W F t I H Z h b i B o Z X Q g M m U g a 2 9 y c H M s N j N 9 J n F 1 b 3 Q 7 L C Z x d W 9 0 O 1 N l Y 3 R p b 2 4 x L 0 x K L 0 F 1 d G 9 S Z W 1 v d m V k Q 2 9 s d W 1 u c z E u e 1 p h b C B v c C B 0 c m V k Z W 4 g Y W x z I C g y Z S B r b 3 J w c y k s N j R 9 J n F 1 b 3 Q 7 L C Z x d W 9 0 O 1 N l Y 3 R p b 2 4 x L 0 x K L 0 F 1 d G 9 S Z W 1 v d m V k Q 2 9 s d W 1 u c z E u e 1 Z v c m 0 g d m F u I H R 3 Z W U g b X V 6 a W V r d 2 V y a 2 V u I C g y Z S B r b 3 J w c y k s N j V 9 J n F 1 b 3 Q 7 L C Z x d W 9 0 O 1 N l Y 3 R p b 2 4 x L 0 x K L 0 F 1 d G 9 S Z W 1 v d m V k Q 2 9 s d W 1 u c z E u e 1 p h b C B 1 a X R r b 2 1 l b i B p b i B k Z T o g K D J l I G t v c n B z K S w 2 N n 0 m c X V v d D s s J n F 1 b 3 Q 7 U 2 V j d G l v b j E v T E o v Q X V 0 b 1 J l b W 9 2 Z W R D b 2 x 1 b W 5 z M S 5 7 T X V 6 a W V r d 2 V y a z E g K D J l I G t v c n B z K S w 2 N 3 0 m c X V v d D s s J n F 1 b 3 Q 7 U 2 V j d G l v b j E v T E o v Q X V 0 b 1 J l b W 9 2 Z W R D b 2 x 1 b W 5 z M S 5 7 T X V 6 a W V r d 2 V y a z I g K D J l I G t v c n B z K S w 2 O H 0 m c X V v d D s s J n F 1 b 3 Q 7 U 2 V j d G l v b j E v T E o v Q X V 0 b 1 J l b W 9 2 Z W R D b 2 x 1 b W 5 z M S 5 7 S 2 9 y c H M g Y m V z d G F h d C B 1 a X Q g L i 4 u I G R l Z W x u Z W 1 l c n M g K D J l I G t v c n B z K S w 2 O X 0 m c X V v d D s s J n F 1 b 3 Q 7 U 2 V j d G l v b j E v T E o v Q X V 0 b 1 J l b W 9 2 Z W R D b 2 x 1 b W 5 z M S 5 7 T W V j a G F u a X N j a G U g b X V 6 a W V r L D c w f S Z x d W 9 0 O y w m c X V v d D t T Z W N 0 a W 9 u M S 9 M S i 9 B d X R v U m V t b 3 Z l Z E N v b H V t b n M x L n t P b m R l c m R l b G V u L D c x f S Z x d W 9 0 O y w m c X V v d D t T Z W N 0 a W 9 u M S 9 M S i 9 B d X R v U m V t b 3 Z l Z E N v b H V t b n M x L n t T Z W N 0 a W V z L D c y f S Z x d W 9 0 O y w m c X V v d D t T Z W N 0 a W 9 u M S 9 M S i 9 B d X R v U m V t b 3 Z l Z E N v b H V t b n M x L n t M Z W V m d G l q Z H N j Y X R l Z 2 9 y a W U s N z N 9 J n F 1 b 3 Q 7 L C Z x d W 9 0 O 1 N l Y 3 R p b 2 4 x L 0 x K L 0 F 1 d G 9 S Z W 1 v d m V k Q 2 9 s d W 1 u c z E u e 0 F h b n R h b C B v c G d l Z 2 V 2 Z W 4 g b W F q b 3 J l d H R l c y w 3 N H 0 m c X V v d D t d L C Z x d W 9 0 O 1 J l b G F 0 a W 9 u c 2 h p c E l u Z m 8 m c X V v d D s 6 W 1 1 9 I i A v P j x F b n R y e S B U e X B l P S J B Z G R l Z F R v R G F 0 Y U 1 v Z G V s I i B W Y W x 1 Z T 0 i b D A i I C 8 + P C 9 T d G F i b G V F b n R y a W V z P j w v S X R l b T 4 8 S X R l b T 4 8 S X R l b U x v Y 2 F 0 a W 9 u P j x J d G V t V H l w Z T 5 G b 3 J t d W x h P C 9 J d G V t V H l w Z T 4 8 S X R l b V B h d G g + U 2 V j d G l v b j E v R l N E L 0 J y b 2 4 8 L 0 l 0 Z W 1 Q Y X R o P j w v S X R l b U x v Y 2 F 0 a W 9 u P j x T d G F i b G V F b n R y a W V z I C 8 + P C 9 J d G V t P j x J d G V t P j x J d G V t T G 9 j Y X R p b 2 4 + P E l 0 Z W 1 U e X B l P k Z v c m 1 1 b G E 8 L 0 l 0 Z W 1 U e X B l P j x J d G V t U G F 0 a D 5 T Z W N 0 a W 9 u M S 9 G U 0 Q v V H l w Z S U y M G d l d 2 l q e m l n Z D w v S X R l b V B h d G g + P C 9 J d G V t T G 9 j Y X R p b 2 4 + P F N 0 Y W J s Z U V u d H J p Z X M g L z 4 8 L 0 l 0 Z W 0 + P E l 0 Z W 0 + P E l 0 Z W 1 M b 2 N h d G l v b j 4 8 S X R l b V R 5 c G U + R m 9 y b X V s Y T w v S X R l b V R 5 c G U + P E l 0 Z W 1 Q Y X R o P l N l Y 3 R p b 2 4 x L 0 Z T R C 9 I Z W F k Z X J z J T I w b W V 0 J T I w d m V y a G 9 v Z 2 Q l M j B u a X Z l Y X U 8 L 0 l 0 Z W 1 Q Y X R o P j w v S X R l b U x v Y 2 F 0 a W 9 u P j x T d G F i b G V F b n R y a W V z I C 8 + P C 9 J d G V t P j x J d G V t P j x J d G V t T G 9 j Y X R p b 2 4 + P E l 0 Z W 1 U e X B l P k Z v c m 1 1 b G E 8 L 0 l 0 Z W 1 U e X B l P j x J d G V t U G F 0 a D 5 T Z W N 0 a W 9 u M S 9 G U 0 Q v S 2 9 s b 2 1 t Z W 4 l M j B 2 Z X J 3 a W p k Z X J k P C 9 J d G V t U G F 0 a D 4 8 L 0 l 0 Z W 1 M b 2 N h d G l v b j 4 8 U 3 R h Y m x l R W 5 0 c m l l c y A v P j w v S X R l b T 4 8 S X R l b T 4 8 S X R l b U x v Y 2 F 0 a W 9 u P j x J d G V t V H l w Z T 5 G b 3 J t d W x h P C 9 J d G V t V H l w Z T 4 8 S X R l b V B h d G g + U 2 V j d G l v b j E v R l N E L 1 Z v b G d v c m R l J T I w d m F u J T I w a 2 9 s b 2 1 t Z W 4 l M j B n Z X d p a n p p Z 2 Q 8 L 0 l 0 Z W 1 Q Y X R o P j w v S X R l b U x v Y 2 F 0 a W 9 u P j x T d G F i b G V F b n R y a W V z I C 8 + P C 9 J d G V t P j x J d G V t P j x J d G V t T G 9 j Y X R p b 2 4 + P E l 0 Z W 1 U e X B l P k Z v c m 1 1 b G E 8 L 0 l 0 Z W 1 U e X B l P j x J d G V t U G F 0 a D 5 T Z W N 0 a W 9 u M S 9 G U 0 Q v T m F t Z W 4 l M j B 2 Y W 4 l M j B r b 2 x v b W 1 l b i U y M G d l d 2 l q e m l n Z D w v S X R l b V B h d G g + P C 9 J d G V t T G 9 j Y X R p b 2 4 + P F N 0 Y W J s Z U V u d H J p Z X M g L z 4 8 L 0 l 0 Z W 0 + P E l 0 Z W 0 + P E l 0 Z W 1 M b 2 N h d G l v b j 4 8 S X R l b V R 5 c G U + R m 9 y b X V s Y T w v S X R l b V R 5 c G U + P E l 0 Z W 1 Q Y X R o P l N l Y 3 R p b 2 4 x L 0 Z T R C 9 X Y W F y Z G U l M j B 2 Z X J 2 Y W 5 n Z W 4 8 L 0 l 0 Z W 1 Q Y X R o P j w v S X R l b U x v Y 2 F 0 a W 9 u P j x T d G F i b G V F b n R y a W V z I C 8 + P C 9 J d G V t P j x J d G V t P j x J d G V t T G 9 j Y X R p b 2 4 + P E l 0 Z W 1 U e X B l P k Z v c m 1 1 b G E 8 L 0 l 0 Z W 1 U e X B l P j x J d G V t U G F 0 a D 5 T Z W N 0 a W 9 u M S 9 G U 0 Q v V 2 F h c m R l J T I w d m V y d m F u Z 2 V u M T w v S X R l b V B h d G g + P C 9 J d G V t T G 9 j Y X R p b 2 4 + P F N 0 Y W J s Z U V u d H J p Z X M g L z 4 8 L 0 l 0 Z W 0 + P E l 0 Z W 0 + P E l 0 Z W 1 M b 2 N h d G l v b j 4 8 S X R l b V R 5 c G U + R m 9 y b X V s Y T w v S X R l b V R 5 c G U + P E l 0 Z W 1 Q Y X R o P l N l Y 3 R p b 2 4 x L 0 Z T R C 9 O Y W 1 l b i U y M H Z h b i U y M G t v b G 9 t b W V u J T I w Z 2 V 3 a W p 6 a W d k M T w v S X R l b V B h d G g + P C 9 J d G V t T G 9 j Y X R p b 2 4 + P F N 0 Y W J s Z U V u d H J p Z X M g L z 4 8 L 0 l 0 Z W 0 + P E l 0 Z W 0 + P E l 0 Z W 1 M b 2 N h d G l v b j 4 8 S X R l b V R 5 c G U + R m 9 y b X V s Y T w v S X R l b V R 5 c G U + P E l 0 Z W 1 Q Y X R o P l N l Y 3 R p b 2 4 x L 0 Z T R C 9 X Y W F y Z G U l M j B 2 Z X J 2 Y W 5 n Z W 4 y P C 9 J d G V t U G F 0 a D 4 8 L 0 l 0 Z W 1 M b 2 N h d G l v b j 4 8 U 3 R h Y m x l R W 5 0 c m l l c y A v P j w v S X R l b T 4 8 S X R l b T 4 8 S X R l b U x v Y 2 F 0 a W 9 u P j x J d G V t V H l w Z T 5 G b 3 J t d W x h P C 9 J d G V t V H l w Z T 4 8 S X R l b V B h d G g + U 2 V j d G l v b j E v R l N E L 1 d h Y X J k Z S U y M H Z l c n Z h b m d l b j M 8 L 0 l 0 Z W 1 Q Y X R o P j w v S X R l b U x v Y 2 F 0 a W 9 u P j x T d G F i b G V F b n R y a W V z I C 8 + P C 9 J d G V t P j x J d G V t P j x J d G V t T G 9 j Y X R p b 2 4 + P E l 0 Z W 1 U e X B l P k Z v c m 1 1 b G E 8 L 0 l 0 Z W 1 U e X B l P j x J d G V t U G F 0 a D 5 T Z W N 0 a W 9 u M S 9 G U 0 Q v T m F t Z W 4 l M j B 2 Y W 4 l M j B r b 2 x v b W 1 l b i U y M G d l d 2 l q e m l n Z D I 8 L 0 l 0 Z W 1 Q Y X R o P j w v S X R l b U x v Y 2 F 0 a W 9 u P j x T d G F i b G V F b n R y a W V z I C 8 + P C 9 J d G V t P j x J d G V t P j x J d G V t T G 9 j Y X R p b 2 4 + P E l 0 Z W 1 U e X B l P k Z v c m 1 1 b G E 8 L 0 l 0 Z W 1 U e X B l P j x J d G V t U G F 0 a D 5 T Z W N 0 a W 9 u M S 9 G U 0 Q v V 2 F h c m R l J T I w d m V y d m F u Z 2 V u N D w v S X R l b V B h d G g + P C 9 J d G V t T G 9 j Y X R p b 2 4 + P F N 0 Y W J s Z U V u d H J p Z X M g L z 4 8 L 0 l 0 Z W 0 + P E l 0 Z W 0 + P E l 0 Z W 1 M b 2 N h d G l v b j 4 8 S X R l b V R 5 c G U + R m 9 y b X V s Y T w v S X R l b V R 5 c G U + P E l 0 Z W 1 Q Y X R o P l N l Y 3 R p b 2 4 x L 0 Z T R C 9 X Y W F y Z G U l M j B 2 Z X J 2 Y W 5 n Z W 4 1 P C 9 J d G V t U G F 0 a D 4 8 L 0 l 0 Z W 1 M b 2 N h d G l v b j 4 8 U 3 R h Y m x l R W 5 0 c m l l c y A v P j w v S X R l b T 4 8 S X R l b T 4 8 S X R l b U x v Y 2 F 0 a W 9 u P j x J d G V t V H l w Z T 5 G b 3 J t d W x h P C 9 J d G V t V H l w Z T 4 8 S X R l b V B h d G g + U 2 V j d G l v b j E v R l N E L 0 t v b G 9 t J T I w c 3 B s a X R z Z W 4 l M j B v c C U y M H N j a G V p Z G l u Z 3 N 0 Z W t l b j w v S X R l b V B h d G g + P C 9 J d G V t T G 9 j Y X R p b 2 4 + P F N 0 Y W J s Z U V u d H J p Z X M g L z 4 8 L 0 l 0 Z W 0 + P E l 0 Z W 0 + P E l 0 Z W 1 M b 2 N h d G l v b j 4 8 S X R l b V R 5 c G U + R m 9 y b X V s Y T w v S X R l b V R 5 c G U + P E l 0 Z W 1 Q Y X R o P l N l Y 3 R p b 2 4 x L 0 Z T R C 9 O Y W 1 l b i U y M H Z h b i U y M G t v b G 9 t b W V u J T I w Z 2 V 3 a W p 6 a W d k M z w v S X R l b V B h d G g + P C 9 J d G V t T G 9 j Y X R p b 2 4 + P F N 0 Y W J s Z U V u d H J p Z X M g L z 4 8 L 0 l 0 Z W 0 + P E l 0 Z W 0 + P E l 0 Z W 1 M b 2 N h d G l v b j 4 8 S X R l b V R 5 c G U + R m 9 y b X V s Y T w v S X R l b V R 5 c G U + P E l 0 Z W 1 Q Y X R o P l N l Y 3 R p b 2 4 x L 0 Z T R C 9 X Y W F y Z G U l M j B 2 Z X J 2 Y W 5 n Z W 4 2 P C 9 J d G V t U G F 0 a D 4 8 L 0 l 0 Z W 1 M b 2 N h d G l v b j 4 8 U 3 R h Y m x l R W 5 0 c m l l c y A v P j w v S X R l b T 4 8 S X R l b T 4 8 S X R l b U x v Y 2 F 0 a W 9 u P j x J d G V t V H l w Z T 5 G b 3 J t d W x h P C 9 J d G V t V H l w Z T 4 8 S X R l b V B h d G g + U 2 V j d G l v b j E v R l N E L 0 5 h b W V u J T I w d m F u J T I w a 2 9 s b 2 1 t Z W 4 l M j B n Z X d p a n p p Z 2 Q 0 P C 9 J d G V t U G F 0 a D 4 8 L 0 l 0 Z W 1 M b 2 N h d G l v b j 4 8 U 3 R h Y m x l R W 5 0 c m l l c y A v P j w v S X R l b T 4 8 S X R l b T 4 8 S X R l b U x v Y 2 F 0 a W 9 u P j x J d G V t V H l w Z T 5 G b 3 J t d W x h P C 9 J d G V t V H l w Z T 4 8 S X R l b V B h d G g + U 2 V j d G l v b j E v R l N E L 1 d h Y X J k Z S U y M H Z l c n Z h b m d l b j c 8 L 0 l 0 Z W 1 Q Y X R o P j w v S X R l b U x v Y 2 F 0 a W 9 u P j x T d G F i b G V F b n R y a W V z I C 8 + P C 9 J d G V t P j x J d G V t P j x J d G V t T G 9 j Y X R p b 2 4 + P E l 0 Z W 1 U e X B l P k Z v c m 1 1 b G E 8 L 0 l 0 Z W 1 U e X B l P j x J d G V t U G F 0 a D 5 T Z W N 0 a W 9 u M S 9 G U 0 Q v V 2 F h c m R l J T I w d m V y d m F u Z 2 V u O D w v S X R l b V B h d G g + P C 9 J d G V t T G 9 j Y X R p b 2 4 + P F N 0 Y W J s Z U V u d H J p Z X M g L z 4 8 L 0 l 0 Z W 0 + P E l 0 Z W 0 + P E l 0 Z W 1 M b 2 N h d G l v b j 4 8 S X R l b V R 5 c G U + R m 9 y b X V s Y T w v S X R l b V R 5 c G U + P E l 0 Z W 1 Q Y X R o P l N l Y 3 R p b 2 4 x L 0 Z T R C 9 X Y W F y Z G U l M j B 2 Z X J 2 Y W 5 n Z W 4 5 P C 9 J d G V t U G F 0 a D 4 8 L 0 l 0 Z W 1 M b 2 N h d G l v b j 4 8 U 3 R h Y m x l R W 5 0 c m l l c y A v P j w v S X R l b T 4 8 S X R l b T 4 8 S X R l b U x v Y 2 F 0 a W 9 u P j x J d G V t V H l w Z T 5 G b 3 J t d W x h P C 9 J d G V t V H l w Z T 4 8 S X R l b V B h d G g + U 2 V j d G l v b j E v R l N E L 0 5 h b W V u J T I w d m F u J T I w a 2 9 s b 2 1 t Z W 4 l M j B n Z X d p a n p p Z 2 Q 1 P C 9 J d G V t U G F 0 a D 4 8 L 0 l 0 Z W 1 M b 2 N h d G l v b j 4 8 U 3 R h Y m x l R W 5 0 c m l l c y A v P j w v S X R l b T 4 8 S X R l b T 4 8 S X R l b U x v Y 2 F 0 a W 9 u P j x J d G V t V H l w Z T 5 G b 3 J t d W x h P C 9 J d G V t V H l w Z T 4 8 S X R l b V B h d G g + U 2 V j d G l v b j E v R l N E L 1 d h Y X J k Z S U y M H Z l c n Z h b m d l b j I x P C 9 J d G V t U G F 0 a D 4 8 L 0 l 0 Z W 1 M b 2 N h d G l v b j 4 8 U 3 R h Y m x l R W 5 0 c m l l c y A v P j w v S X R l b T 4 8 S X R l b T 4 8 S X R l b U x v Y 2 F 0 a W 9 u P j x J d G V t V H l w Z T 5 G b 3 J t d W x h P C 9 J d G V t V H l w Z T 4 8 S X R l b V B h d G g + U 2 V j d G l v b j E v R l N E L 1 d h Y X J k Z S U y M H Z l c n Z h b m d l b j I y P C 9 J d G V t U G F 0 a D 4 8 L 0 l 0 Z W 1 M b 2 N h d G l v b j 4 8 U 3 R h Y m x l R W 5 0 c m l l c y A v P j w v S X R l b T 4 8 S X R l b T 4 8 S X R l b U x v Y 2 F 0 a W 9 u P j x J d G V t V H l w Z T 5 G b 3 J t d W x h P C 9 J d G V t V H l w Z T 4 8 S X R l b V B h d G g + U 2 V j d G l v b j E v R l N E L 1 d h Y X J k Z S U y M H Z l c n Z h b m d l b j I z P C 9 J d G V t U G F 0 a D 4 8 L 0 l 0 Z W 1 M b 2 N h d G l v b j 4 8 U 3 R h Y m x l R W 5 0 c m l l c y A v P j w v S X R l b T 4 8 S X R l b T 4 8 S X R l b U x v Y 2 F 0 a W 9 u P j x J d G V t V H l w Z T 5 G b 3 J t d W x h P C 9 J d G V t V H l w Z T 4 8 S X R l b V B h d G g + U 2 V j d G l v b j E v R l N E L 1 d h Y X J k Z S U y M H Z l c n Z h b m d l b j I 0 P C 9 J d G V t U G F 0 a D 4 8 L 0 l 0 Z W 1 M b 2 N h d G l v b j 4 8 U 3 R h Y m x l R W 5 0 c m l l c y A v P j w v S X R l b T 4 8 S X R l b T 4 8 S X R l b U x v Y 2 F 0 a W 9 u P j x J d G V t V H l w Z T 5 G b 3 J t d W x h P C 9 J d G V t V H l w Z T 4 8 S X R l b V B h d G g + U 2 V j d G l v b j E v R l N E L 1 d h Y X J k Z S U y M H Z l c n Z h b m d l b j I 1 P C 9 J d G V t U G F 0 a D 4 8 L 0 l 0 Z W 1 M b 2 N h d G l v b j 4 8 U 3 R h Y m x l R W 5 0 c m l l c y A v P j w v S X R l b T 4 8 S X R l b T 4 8 S X R l b U x v Y 2 F 0 a W 9 u P j x J d G V t V H l w Z T 5 G b 3 J t d W x h P C 9 J d G V t V H l w Z T 4 8 S X R l b V B h d G g + U 2 V j d G l v b j E v R l N E L 0 5 h b W V u J T I w d m F u J T I w a 2 9 s b 2 1 t Z W 4 l M j B n Z X d p a n p p Z 2 Q x M T w v S X R l b V B h d G g + P C 9 J d G V t T G 9 j Y X R p b 2 4 + P F N 0 Y W J s Z U V u d H J p Z X M g L z 4 8 L 0 l 0 Z W 0 + P E l 0 Z W 0 + P E l 0 Z W 1 M b 2 N h d G l v b j 4 8 S X R l b V R 5 c G U + R m 9 y b X V s Y T w v S X R l b V R 5 c G U + P E l 0 Z W 1 Q Y X R o P l N l Y 3 R p b 2 4 x L 0 Z T R C 9 X Y W F y Z G U l M j B 2 Z X J 2 Y W 5 n Z W 4 y N j w v S X R l b V B h d G g + P C 9 J d G V t T G 9 j Y X R p b 2 4 + P F N 0 Y W J s Z U V u d H J p Z X M g L z 4 8 L 0 l 0 Z W 0 + P E l 0 Z W 0 + P E l 0 Z W 1 M b 2 N h d G l v b j 4 8 S X R l b V R 5 c G U + R m 9 y b X V s Y T w v S X R l b V R 5 c G U + P E l 0 Z W 1 Q Y X R o P l N l Y 3 R p b 2 4 x L 0 Z T R C 9 X Y W F y Z G U l M j B 2 Z X J 2 Y W 5 n Z W 4 y N z w v S X R l b V B h d G g + P C 9 J d G V t T G 9 j Y X R p b 2 4 + P F N 0 Y W J s Z U V u d H J p Z X M g L z 4 8 L 0 l 0 Z W 0 + P E l 0 Z W 0 + P E l 0 Z W 1 M b 2 N h d G l v b j 4 8 S X R l b V R 5 c G U + R m 9 y b X V s Y T w v S X R l b V R 5 c G U + P E l 0 Z W 1 Q Y X R o P l N l Y 3 R p b 2 4 x L 0 Z T R C 9 O Y W 1 l b i U y M H Z h b i U y M G t v b G 9 t b W V u J T I w Z 2 V 3 a W p 6 a W d k M T I 8 L 0 l 0 Z W 1 Q Y X R o P j w v S X R l b U x v Y 2 F 0 a W 9 u P j x T d G F i b G V F b n R y a W V z I C 8 + P C 9 J d G V t P j x J d G V t P j x J d G V t T G 9 j Y X R p b 2 4 + P E l 0 Z W 1 U e X B l P k Z v c m 1 1 b G E 8 L 0 l 0 Z W 1 U e X B l P j x J d G V t U G F 0 a D 5 T Z W N 0 a W 9 u M S 9 G U 0 Q v V 2 F h c m R l J T I w d m V y d m F u Z 2 V u M j g 8 L 0 l 0 Z W 1 Q Y X R o P j w v S X R l b U x v Y 2 F 0 a W 9 u P j x T d G F i b G V F b n R y a W V z I C 8 + P C 9 J d G V t P j x J d G V t P j x J d G V t T G 9 j Y X R p b 2 4 + P E l 0 Z W 1 U e X B l P k Z v c m 1 1 b G E 8 L 0 l 0 Z W 1 U e X B l P j x J d G V t U G F 0 a D 5 T Z W N 0 a W 9 u M S 9 G U 0 Q v V 2 F h c m R l J T I w d m V y d m F u Z 2 V u M j k 8 L 0 l 0 Z W 1 Q Y X R o P j w v S X R l b U x v Y 2 F 0 a W 9 u P j x T d G F i b G V F b n R y a W V z I C 8 + P C 9 J d G V t P j x J d G V t P j x J d G V t T G 9 j Y X R p b 2 4 + P E l 0 Z W 1 U e X B l P k Z v c m 1 1 b G E 8 L 0 l 0 Z W 1 U e X B l P j x J d G V t U G F 0 a D 5 T Z W N 0 a W 9 u M S 9 G U 0 Q v T m F t Z W 4 l M j B 2 Y W 4 l M j B r b 2 x v b W 1 l b i U y M G d l d 2 l q e m l n Z D E z P C 9 J d G V t U G F 0 a D 4 8 L 0 l 0 Z W 1 M b 2 N h d G l v b j 4 8 U 3 R h Y m x l R W 5 0 c m l l c y A v P j w v S X R l b T 4 8 S X R l b T 4 8 S X R l b U x v Y 2 F 0 a W 9 u P j x J d G V t V H l w Z T 5 G b 3 J t d W x h P C 9 J d G V t V H l w Z T 4 8 S X R l b V B h d G g + U 2 V j d G l v b j E v R l N E L 1 Z v b G d v c m R l J T I w d m F u J T I w a 2 9 s b 2 1 t Z W 4 l M j B n Z X d p a n p p Z 2 Q x P C 9 J d G V t U G F 0 a D 4 8 L 0 l 0 Z W 1 M b 2 N h d G l v b j 4 8 U 3 R h Y m x l R W 5 0 c m l l c y A v P j w v S X R l b T 4 8 S X R l b T 4 8 S X R l b U x v Y 2 F 0 a W 9 u P j x J d G V t V H l w Z T 5 G b 3 J t d W x h P C 9 J d G V t V H l w Z T 4 8 S X R l b V B h d G g + U 2 V j d G l v b j E v R l N E L 1 d h Y X J k Z S U y M H Z l c n Z h b m d l b j M w P C 9 J d G V t U G F 0 a D 4 8 L 0 l 0 Z W 1 M b 2 N h d G l v b j 4 8 U 3 R h Y m x l R W 5 0 c m l l c y A v P j w v S X R l b T 4 8 S X R l b T 4 8 S X R l b U x v Y 2 F 0 a W 9 u P j x J d G V t V H l w Z T 5 G b 3 J t d W x h P C 9 J d G V t V H l w Z T 4 8 S X R l b V B h d G g + U 2 V j d G l v b j E v R l N E L 1 d h Y X J k Z S U y M H Z l c n Z h b m d l b j M x P C 9 J d G V t U G F 0 a D 4 8 L 0 l 0 Z W 1 M b 2 N h d G l v b j 4 8 U 3 R h Y m x l R W 5 0 c m l l c y A v P j w v S X R l b T 4 8 S X R l b T 4 8 S X R l b U x v Y 2 F 0 a W 9 u P j x J d G V t V H l w Z T 5 G b 3 J t d W x h P C 9 J d G V t V H l w Z T 4 8 S X R l b V B h d G g + U 2 V j d G l v b j E v R l N E L 0 5 h b W V u J T I w d m F u J T I w a 2 9 s b 2 1 t Z W 4 l M j B n Z X d p a n p p Z 2 Q x N D w v S X R l b V B h d G g + P C 9 J d G V t T G 9 j Y X R p b 2 4 + P F N 0 Y W J s Z U V u d H J p Z X M g L z 4 8 L 0 l 0 Z W 0 + P E l 0 Z W 0 + P E l 0 Z W 1 M b 2 N h d G l v b j 4 8 S X R l b V R 5 c G U + R m 9 y b X V s Y T w v S X R l b V R 5 c G U + P E l 0 Z W 1 Q Y X R o P l N l Y 3 R p b 2 4 x L 0 Z T R C 9 W b 2 x n b 3 J k Z S U y M H Z h b i U y M G t v b G 9 t b W V u J T I w Z 2 V 3 a W p 6 a W d k M j w v S X R l b V B h d G g + P C 9 J d G V t T G 9 j Y X R p b 2 4 + P F N 0 Y W J s Z U V u d H J p Z X M g L z 4 8 L 0 l 0 Z W 0 + P E l 0 Z W 0 + P E l 0 Z W 1 M b 2 N h d G l v b j 4 8 S X R l b V R 5 c G U + R m 9 y b X V s Y T w v S X R l b V R 5 c G U + P E l 0 Z W 1 Q Y X R o P l N l Y 3 R p b 2 4 x L 0 Z T R C 9 O Y W 1 l b i U y M H Z h b i U y M G t v b G 9 t b W V u J T I w Z 2 V 3 a W p 6 a W d k M T U 8 L 0 l 0 Z W 1 Q Y X R o P j w v S X R l b U x v Y 2 F 0 a W 9 u P j x T d G F i b G V F b n R y a W V z I C 8 + P C 9 J d G V t P j x J d G V t P j x J d G V t T G 9 j Y X R p b 2 4 + P E l 0 Z W 1 U e X B l P k Z v c m 1 1 b G E 8 L 0 l 0 Z W 1 U e X B l P j x J d G V t U G F 0 a D 5 T Z W N 0 a W 9 u M S 9 G U 0 Q v V 2 F h c m R l J T I w d m V y d m F u Z 2 V u M z I 8 L 0 l 0 Z W 1 Q Y X R o P j w v S X R l b U x v Y 2 F 0 a W 9 u P j x T d G F i b G V F b n R y a W V z I C 8 + P C 9 J d G V t P j x J d G V t P j x J d G V t T G 9 j Y X R p b 2 4 + P E l 0 Z W 1 U e X B l P k Z v c m 1 1 b G E 8 L 0 l 0 Z W 1 U e X B l P j x J d G V t U G F 0 a D 5 T Z W N 0 a W 9 u M S 9 G U 0 Q v V 2 F h c m R l J T I w d m V y d m F u Z 2 V u M z M 8 L 0 l 0 Z W 1 Q Y X R o P j w v S X R l b U x v Y 2 F 0 a W 9 u P j x T d G F i b G V F b n R y a W V z I C 8 + P C 9 J d G V t P j x J d G V t P j x J d G V t T G 9 j Y X R p b 2 4 + P E l 0 Z W 1 U e X B l P k Z v c m 1 1 b G E 8 L 0 l 0 Z W 1 U e X B l P j x J d G V t U G F 0 a D 5 T Z W N 0 a W 9 u M S 9 G U 0 Q v T m F t Z W 4 l M j B 2 Y W 4 l M j B r b 2 x v b W 1 l b i U y M G d l d 2 l q e m l n Z D E 2 P C 9 J d G V t U G F 0 a D 4 8 L 0 l 0 Z W 1 M b 2 N h d G l v b j 4 8 U 3 R h Y m x l R W 5 0 c m l l c y A v P j w v S X R l b T 4 8 S X R l b T 4 8 S X R l b U x v Y 2 F 0 a W 9 u P j x J d G V t V H l w Z T 5 G b 3 J t d W x h P C 9 J d G V t V H l w Z T 4 8 S X R l b V B h d G g + U 2 V j d G l v b j E v R l N E L 1 d h Y X J k Z S U y M H Z l c n Z h b m d l b j M 0 P C 9 J d G V t U G F 0 a D 4 8 L 0 l 0 Z W 1 M b 2 N h d G l v b j 4 8 U 3 R h Y m x l R W 5 0 c m l l c y A v P j w v S X R l b T 4 8 S X R l b T 4 8 S X R l b U x v Y 2 F 0 a W 9 u P j x J d G V t V H l w Z T 5 G b 3 J t d W x h P C 9 J d G V t V H l w Z T 4 8 S X R l b V B h d G g + U 2 V j d G l v b j E v R l N E L 1 d h Y X J k Z S U y M H Z l c n Z h b m d l b j M 1 P C 9 J d G V t U G F 0 a D 4 8 L 0 l 0 Z W 1 M b 2 N h d G l v b j 4 8 U 3 R h Y m x l R W 5 0 c m l l c y A v P j w v S X R l b T 4 8 S X R l b T 4 8 S X R l b U x v Y 2 F 0 a W 9 u P j x J d G V t V H l w Z T 5 G b 3 J t d W x h P C 9 J d G V t V H l w Z T 4 8 S X R l b V B h d G g + U 2 V j d G l v b j E v R l N E L 0 5 h b W V u J T I w d m F u J T I w a 2 9 s b 2 1 t Z W 4 l M j B n Z X d p a n p p Z 2 Q x N z w v S X R l b V B h d G g + P C 9 J d G V t T G 9 j Y X R p b 2 4 + P F N 0 Y W J s Z U V u d H J p Z X M g L z 4 8 L 0 l 0 Z W 0 + P E l 0 Z W 0 + P E l 0 Z W 1 M b 2 N h d G l v b j 4 8 S X R l b V R 5 c G U + R m 9 y b X V s Y T w v S X R l b V R 5 c G U + P E l 0 Z W 1 Q Y X R o P l N l Y 3 R p b 2 4 x L 0 Z T R C 9 X Y W F y Z G U l M j B 2 Z X J 2 Y W 5 n Z W 4 z N j w v S X R l b V B h d G g + P C 9 J d G V t T G 9 j Y X R p b 2 4 + P F N 0 Y W J s Z U V u d H J p Z X M g L z 4 8 L 0 l 0 Z W 0 + P E l 0 Z W 0 + P E l 0 Z W 1 M b 2 N h d G l v b j 4 8 S X R l b V R 5 c G U + R m 9 y b X V s Y T w v S X R l b V R 5 c G U + P E l 0 Z W 1 Q Y X R o P l N l Y 3 R p b 2 4 x L 0 Z T R C 9 X Y W F y Z G U l M j B 2 Z X J 2 Y W 5 n Z W 4 z N z w v S X R l b V B h d G g + P C 9 J d G V t T G 9 j Y X R p b 2 4 + P F N 0 Y W J s Z U V u d H J p Z X M g L z 4 8 L 0 l 0 Z W 0 + P E l 0 Z W 0 + P E l 0 Z W 1 M b 2 N h d G l v b j 4 8 S X R l b V R 5 c G U + R m 9 y b X V s Y T w v S X R l b V R 5 c G U + P E l 0 Z W 1 Q Y X R o P l N l Y 3 R p b 2 4 x L 0 Z T R C 9 X Y W F y Z G U l M j B 2 Z X J 2 Y W 5 n Z W 4 z O D w v S X R l b V B h d G g + P C 9 J d G V t T G 9 j Y X R p b 2 4 + P F N 0 Y W J s Z U V u d H J p Z X M g L z 4 8 L 0 l 0 Z W 0 + P E l 0 Z W 0 + P E l 0 Z W 1 M b 2 N h d G l v b j 4 8 S X R l b V R 5 c G U + R m 9 y b X V s Y T w v S X R l b V R 5 c G U + P E l 0 Z W 1 Q Y X R o P l N l Y 3 R p b 2 4 x L 0 Z T R C 9 L b 2 x v b W 1 l b i U y M H N h b W V u Z 2 V 2 b 2 V n Z D w v S X R l b V B h d G g + P C 9 J d G V t T G 9 j Y X R p b 2 4 + P F N 0 Y W J s Z U V u d H J p Z X M g L z 4 8 L 0 l 0 Z W 0 + P E l 0 Z W 0 + P E l 0 Z W 1 M b 2 N h d G l v b j 4 8 S X R l b V R 5 c G U + R m 9 y b X V s Y T w v S X R l b V R 5 c G U + P E l 0 Z W 1 Q Y X R o P l N l Y 3 R p b 2 4 x L 0 Z T R C 9 L b 2 x v b W 1 l b i U y M H N h b W V u Z 2 V 2 b 2 V n Z D E 8 L 0 l 0 Z W 1 Q Y X R o P j w v S X R l b U x v Y 2 F 0 a W 9 u P j x T d G F i b G V F b n R y a W V z I C 8 + P C 9 J d G V t P j x J d G V t P j x J d G V t T G 9 j Y X R p b 2 4 + P E l 0 Z W 1 U e X B l P k Z v c m 1 1 b G E 8 L 0 l 0 Z W 1 U e X B l P j x J d G V t U G F 0 a D 5 T Z W N 0 a W 9 u M S 9 G U 0 Q v S 2 9 s b 2 1 t Z W 4 l M j B z Y W 1 l b m d l d m 9 l Z 2 Q y P C 9 J d G V t U G F 0 a D 4 8 L 0 l 0 Z W 1 M b 2 N h d G l v b j 4 8 U 3 R h Y m x l R W 5 0 c m l l c y A v P j w v S X R l b T 4 8 S X R l b T 4 8 S X R l b U x v Y 2 F 0 a W 9 u P j x J d G V t V H l w Z T 5 G b 3 J t d W x h P C 9 J d G V t V H l w Z T 4 8 S X R l b V B h d G g + U 2 V j d G l v b j E v R l N E L 1 d h Y X J k Z S U y M H Z l c n Z h b m d l b j M 5 P C 9 J d G V t U G F 0 a D 4 8 L 0 l 0 Z W 1 M b 2 N h d G l v b j 4 8 U 3 R h Y m x l R W 5 0 c m l l c y A v P j w v S X R l b T 4 8 S X R l b T 4 8 S X R l b U x v Y 2 F 0 a W 9 u P j x J d G V t V H l w Z T 5 G b 3 J t d W x h P C 9 J d G V t V H l w Z T 4 8 S X R l b V B h d G g + U 2 V j d G l v b j E v R l N E L 0 5 h b W V u J T I w d m F u J T I w a 2 9 s b 2 1 t Z W 4 l M j B n Z X d p a n p p Z 2 Q x O T w v S X R l b V B h d G g + P C 9 J d G V t T G 9 j Y X R p b 2 4 + P F N 0 Y W J s Z U V u d H J p Z X M g L z 4 8 L 0 l 0 Z W 0 + P E l 0 Z W 0 + P E l 0 Z W 1 M b 2 N h d G l v b j 4 8 S X R l b V R 5 c G U + R m 9 y b X V s Y T w v S X R l b V R 5 c G U + P E l 0 Z W 1 Q Y X R o P l N l Y 3 R p b 2 4 x L 0 Z T R C 9 X Y W F y Z G U l M j B 2 Z X J 2 Y W 5 n Z W 4 0 M D w v S X R l b V B h d G g + P C 9 J d G V t T G 9 j Y X R p b 2 4 + P F N 0 Y W J s Z U V u d H J p Z X M g L z 4 8 L 0 l 0 Z W 0 + P E l 0 Z W 0 + P E l 0 Z W 1 M b 2 N h d G l v b j 4 8 S X R l b V R 5 c G U + R m 9 y b X V s Y T w v S X R l b V R 5 c G U + P E l 0 Z W 1 Q Y X R o P l N l Y 3 R p b 2 4 x L 0 Z T R C 9 S a W p l b i U y M G d l c 2 9 y d G V l c m Q 8 L 0 l 0 Z W 1 Q Y X R o P j w v S X R l b U x v Y 2 F 0 a W 9 u P j x T d G F i b G V F b n R y a W V z I C 8 + P C 9 J d G V t P j x J d G V t P j x J d G V t T G 9 j Y X R p b 2 4 + P E l 0 Z W 1 U e X B l P k Z v c m 1 1 b G E 8 L 0 l 0 Z W 1 U e X B l P j x J d G V t U G F 0 a D 5 T Z W N 0 a W 9 u M S 9 L R E 0 v Q n J v b j w v S X R l b V B h d G g + P C 9 J d G V t T G 9 j Y X R p b 2 4 + P F N 0 Y W J s Z U V u d H J p Z X M g L z 4 8 L 0 l 0 Z W 0 + P E l 0 Z W 0 + P E l 0 Z W 1 M b 2 N h d G l v b j 4 8 S X R l b V R 5 c G U + R m 9 y b X V s Y T w v S X R l b V R 5 c G U + P E l 0 Z W 1 Q Y X R o P l N l Y 3 R p b 2 4 x L 0 t E T S 9 I Z W F k Z X J z J T I w b W V 0 J T I w d m V y a G 9 v Z 2 Q l M j B u a X Z l Y X U 8 L 0 l 0 Z W 1 Q Y X R o P j w v S X R l b U x v Y 2 F 0 a W 9 u P j x T d G F i b G V F b n R y a W V z I C 8 + P C 9 J d G V t P j x J d G V t P j x J d G V t T G 9 j Y X R p b 2 4 + P E l 0 Z W 1 U e X B l P k Z v c m 1 1 b G E 8 L 0 l 0 Z W 1 U e X B l P j x J d G V t U G F 0 a D 5 T Z W N 0 a W 9 u M S 9 L R E 0 v S 2 9 s b 2 1 t Z W 4 l M j B 2 Z X J 3 a W p k Z X J k P C 9 J d G V t U G F 0 a D 4 8 L 0 l 0 Z W 1 M b 2 N h d G l v b j 4 8 U 3 R h Y m x l R W 5 0 c m l l c y A v P j w v S X R l b T 4 8 S X R l b T 4 8 S X R l b U x v Y 2 F 0 a W 9 u P j x J d G V t V H l w Z T 5 G b 3 J t d W x h P C 9 J d G V t V H l w Z T 4 8 S X R l b V B h d G g + U 2 V j d G l v b j E v S 0 R N L 1 Z v b G d v c m R l J T I w d m F u J T I w a 2 9 s b 2 1 t Z W 4 l M j B n Z X d p a n p p Z 2 Q 8 L 0 l 0 Z W 1 Q Y X R o P j w v S X R l b U x v Y 2 F 0 a W 9 u P j x T d G F i b G V F b n R y a W V z I C 8 + P C 9 J d G V t P j x J d G V t P j x J d G V t T G 9 j Y X R p b 2 4 + P E l 0 Z W 1 U e X B l P k Z v c m 1 1 b G E 8 L 0 l 0 Z W 1 U e X B l P j x J d G V t U G F 0 a D 5 T Z W N 0 a W 9 u M S 9 L R E 0 v T m F t Z W 4 l M j B 2 Y W 4 l M j B r b 2 x v b W 1 l b i U y M G d l d 2 l q e m l n Z D w v S X R l b V B h d G g + P C 9 J d G V t T G 9 j Y X R p b 2 4 + P F N 0 Y W J s Z U V u d H J p Z X M g L z 4 8 L 0 l 0 Z W 0 + P E l 0 Z W 0 + P E l 0 Z W 1 M b 2 N h d G l v b j 4 8 S X R l b V R 5 c G U + R m 9 y b X V s Y T w v S X R l b V R 5 c G U + P E l 0 Z W 1 Q Y X R o P l N l Y 3 R p b 2 4 x L 0 t E T S 9 X Y W F y Z G U l M j B 2 Z X J 2 Y W 5 n Z W 4 8 L 0 l 0 Z W 1 Q Y X R o P j w v S X R l b U x v Y 2 F 0 a W 9 u P j x T d G F i b G V F b n R y a W V z I C 8 + P C 9 J d G V t P j x J d G V t P j x J d G V t T G 9 j Y X R p b 2 4 + P E l 0 Z W 1 U e X B l P k Z v c m 1 1 b G E 8 L 0 l 0 Z W 1 U e X B l P j x J d G V t U G F 0 a D 5 T Z W N 0 a W 9 u M S 9 L R E 0 v V 2 F h c m R l J T I w d m V y d m F u Z 2 V u M T w v S X R l b V B h d G g + P C 9 J d G V t T G 9 j Y X R p b 2 4 + P F N 0 Y W J s Z U V u d H J p Z X M g L z 4 8 L 0 l 0 Z W 0 + P E l 0 Z W 0 + P E l 0 Z W 1 M b 2 N h d G l v b j 4 8 S X R l b V R 5 c G U + R m 9 y b X V s Y T w v S X R l b V R 5 c G U + P E l 0 Z W 1 Q Y X R o P l N l Y 3 R p b 2 4 x L 0 t E T S 9 O Y W 1 l b i U y M H Z h b i U y M G t v b G 9 t b W V u J T I w Z 2 V 3 a W p 6 a W d k M T w v S X R l b V B h d G g + P C 9 J d G V t T G 9 j Y X R p b 2 4 + P F N 0 Y W J s Z U V u d H J p Z X M g L z 4 8 L 0 l 0 Z W 0 + P E l 0 Z W 0 + P E l 0 Z W 1 M b 2 N h d G l v b j 4 8 S X R l b V R 5 c G U + R m 9 y b X V s Y T w v S X R l b V R 5 c G U + P E l 0 Z W 1 Q Y X R o P l N l Y 3 R p b 2 4 x L 0 t E T S 9 X Y W F y Z G U l M j B 2 Z X J 2 Y W 5 n Z W 4 y P C 9 J d G V t U G F 0 a D 4 8 L 0 l 0 Z W 1 M b 2 N h d G l v b j 4 8 U 3 R h Y m x l R W 5 0 c m l l c y A v P j w v S X R l b T 4 8 S X R l b T 4 8 S X R l b U x v Y 2 F 0 a W 9 u P j x J d G V t V H l w Z T 5 G b 3 J t d W x h P C 9 J d G V t V H l w Z T 4 8 S X R l b V B h d G g + U 2 V j d G l v b j E v S 0 R N L 1 d h Y X J k Z S U y M H Z l c n Z h b m d l b j M 8 L 0 l 0 Z W 1 Q Y X R o P j w v S X R l b U x v Y 2 F 0 a W 9 u P j x T d G F i b G V F b n R y a W V z I C 8 + P C 9 J d G V t P j x J d G V t P j x J d G V t T G 9 j Y X R p b 2 4 + P E l 0 Z W 1 U e X B l P k Z v c m 1 1 b G E 8 L 0 l 0 Z W 1 U e X B l P j x J d G V t U G F 0 a D 5 T Z W N 0 a W 9 u M S 9 L R E 0 v T m F t Z W 4 l M j B 2 Y W 4 l M j B r b 2 x v b W 1 l b i U y M G d l d 2 l q e m l n Z D I 8 L 0 l 0 Z W 1 Q Y X R o P j w v S X R l b U x v Y 2 F 0 a W 9 u P j x T d G F i b G V F b n R y a W V z I C 8 + P C 9 J d G V t P j x J d G V t P j x J d G V t T G 9 j Y X R p b 2 4 + P E l 0 Z W 1 U e X B l P k Z v c m 1 1 b G E 8 L 0 l 0 Z W 1 U e X B l P j x J d G V t U G F 0 a D 5 T Z W N 0 a W 9 u M S 9 L R E 0 v V 2 F h c m R l J T I w d m V y d m F u Z 2 V u N D w v S X R l b V B h d G g + P C 9 J d G V t T G 9 j Y X R p b 2 4 + P F N 0 Y W J s Z U V u d H J p Z X M g L z 4 8 L 0 l 0 Z W 0 + P E l 0 Z W 0 + P E l 0 Z W 1 M b 2 N h d G l v b j 4 8 S X R l b V R 5 c G U + R m 9 y b X V s Y T w v S X R l b V R 5 c G U + P E l 0 Z W 1 Q Y X R o P l N l Y 3 R p b 2 4 x L 0 t E T S 9 X Y W F y Z G U l M j B 2 Z X J 2 Y W 5 n Z W 4 1 P C 9 J d G V t U G F 0 a D 4 8 L 0 l 0 Z W 1 M b 2 N h d G l v b j 4 8 U 3 R h Y m x l R W 5 0 c m l l c y A v P j w v S X R l b T 4 8 S X R l b T 4 8 S X R l b U x v Y 2 F 0 a W 9 u P j x J d G V t V H l w Z T 5 G b 3 J t d W x h P C 9 J d G V t V H l w Z T 4 8 S X R l b V B h d G g + U 2 V j d G l v b j E v S 0 R N L 0 t v b G 9 t J T I w c 3 B s a X R z Z W 4 l M j B v c C U y M H N j a G V p Z G l u Z 3 N 0 Z W t l b j w v S X R l b V B h d G g + P C 9 J d G V t T G 9 j Y X R p b 2 4 + P F N 0 Y W J s Z U V u d H J p Z X M g L z 4 8 L 0 l 0 Z W 0 + P E l 0 Z W 0 + P E l 0 Z W 1 M b 2 N h d G l v b j 4 8 S X R l b V R 5 c G U + R m 9 y b X V s Y T w v S X R l b V R 5 c G U + P E l 0 Z W 1 Q Y X R o P l N l Y 3 R p b 2 4 x L 0 t E T S 9 O Y W 1 l b i U y M H Z h b i U y M G t v b G 9 t b W V u J T I w Z 2 V 3 a W p 6 a W d k M z w v S X R l b V B h d G g + P C 9 J d G V t T G 9 j Y X R p b 2 4 + P F N 0 Y W J s Z U V u d H J p Z X M g L z 4 8 L 0 l 0 Z W 0 + P E l 0 Z W 0 + P E l 0 Z W 1 M b 2 N h d G l v b j 4 8 S X R l b V R 5 c G U + R m 9 y b X V s Y T w v S X R l b V R 5 c G U + P E l 0 Z W 1 Q Y X R o P l N l Y 3 R p b 2 4 x L 0 t E T S 9 X Y W F y Z G U l M j B 2 Z X J 2 Y W 5 n Z W 4 2 P C 9 J d G V t U G F 0 a D 4 8 L 0 l 0 Z W 1 M b 2 N h d G l v b j 4 8 U 3 R h Y m x l R W 5 0 c m l l c y A v P j w v S X R l b T 4 8 S X R l b T 4 8 S X R l b U x v Y 2 F 0 a W 9 u P j x J d G V t V H l w Z T 5 G b 3 J t d W x h P C 9 J d G V t V H l w Z T 4 8 S X R l b V B h d G g + U 2 V j d G l v b j E v S 0 R N L 0 5 h b W V u J T I w d m F u J T I w a 2 9 s b 2 1 t Z W 4 l M j B n Z X d p a n p p Z 2 Q 0 P C 9 J d G V t U G F 0 a D 4 8 L 0 l 0 Z W 1 M b 2 N h d G l v b j 4 8 U 3 R h Y m x l R W 5 0 c m l l c y A v P j w v S X R l b T 4 8 S X R l b T 4 8 S X R l b U x v Y 2 F 0 a W 9 u P j x J d G V t V H l w Z T 5 G b 3 J t d W x h P C 9 J d G V t V H l w Z T 4 8 S X R l b V B h d G g + U 2 V j d G l v b j E v S 0 R N L 1 d h Y X J k Z S U y M H Z l c n Z h b m d l b j c 8 L 0 l 0 Z W 1 Q Y X R o P j w v S X R l b U x v Y 2 F 0 a W 9 u P j x T d G F i b G V F b n R y a W V z I C 8 + P C 9 J d G V t P j x J d G V t P j x J d G V t T G 9 j Y X R p b 2 4 + P E l 0 Z W 1 U e X B l P k Z v c m 1 1 b G E 8 L 0 l 0 Z W 1 U e X B l P j x J d G V t U G F 0 a D 5 T Z W N 0 a W 9 u M S 9 L R E 0 v V 2 F h c m R l J T I w d m V y d m F u Z 2 V u O D w v S X R l b V B h d G g + P C 9 J d G V t T G 9 j Y X R p b 2 4 + P F N 0 Y W J s Z U V u d H J p Z X M g L z 4 8 L 0 l 0 Z W 0 + P E l 0 Z W 0 + P E l 0 Z W 1 M b 2 N h d G l v b j 4 8 S X R l b V R 5 c G U + R m 9 y b X V s Y T w v S X R l b V R 5 c G U + P E l 0 Z W 1 Q Y X R o P l N l Y 3 R p b 2 4 x L 0 t E T S 9 X Y W F y Z G U l M j B 2 Z X J 2 Y W 5 n Z W 4 y M T w v S X R l b V B h d G g + P C 9 J d G V t T G 9 j Y X R p b 2 4 + P F N 0 Y W J s Z U V u d H J p Z X M g L z 4 8 L 0 l 0 Z W 0 + P E l 0 Z W 0 + P E l 0 Z W 1 M b 2 N h d G l v b j 4 8 S X R l b V R 5 c G U + R m 9 y b X V s Y T w v S X R l b V R 5 c G U + P E l 0 Z W 1 Q Y X R o P l N l Y 3 R p b 2 4 x L 0 t E T S 9 X Y W F y Z G U l M j B 2 Z X J 2 Y W 5 n Z W 4 y M j w v S X R l b V B h d G g + P C 9 J d G V t T G 9 j Y X R p b 2 4 + P F N 0 Y W J s Z U V u d H J p Z X M g L z 4 8 L 0 l 0 Z W 0 + P E l 0 Z W 0 + P E l 0 Z W 1 M b 2 N h d G l v b j 4 8 S X R l b V R 5 c G U + R m 9 y b X V s Y T w v S X R l b V R 5 c G U + P E l 0 Z W 1 Q Y X R o P l N l Y 3 R p b 2 4 x L 0 t E T S 9 X Y W F y Z G U l M j B 2 Z X J 2 Y W 5 n Z W 4 y M z w v S X R l b V B h d G g + P C 9 J d G V t T G 9 j Y X R p b 2 4 + P F N 0 Y W J s Z U V u d H J p Z X M g L z 4 8 L 0 l 0 Z W 0 + P E l 0 Z W 0 + P E l 0 Z W 1 M b 2 N h d G l v b j 4 8 S X R l b V R 5 c G U + R m 9 y b X V s Y T w v S X R l b V R 5 c G U + P E l 0 Z W 1 Q Y X R o P l N l Y 3 R p b 2 4 x L 0 t E T S 9 X Y W F y Z G U l M j B 2 Z X J 2 Y W 5 n Z W 4 y N D w v S X R l b V B h d G g + P C 9 J d G V t T G 9 j Y X R p b 2 4 + P F N 0 Y W J s Z U V u d H J p Z X M g L z 4 8 L 0 l 0 Z W 0 + P E l 0 Z W 0 + P E l 0 Z W 1 M b 2 N h d G l v b j 4 8 S X R l b V R 5 c G U + R m 9 y b X V s Y T w v S X R l b V R 5 c G U + P E l 0 Z W 1 Q Y X R o P l N l Y 3 R p b 2 4 x L 0 t E T S 9 X Y W F y Z G U l M j B 2 Z X J 2 Y W 5 n Z W 4 y N T w v S X R l b V B h d G g + P C 9 J d G V t T G 9 j Y X R p b 2 4 + P F N 0 Y W J s Z U V u d H J p Z X M g L z 4 8 L 0 l 0 Z W 0 + P E l 0 Z W 0 + P E l 0 Z W 1 M b 2 N h d G l v b j 4 8 S X R l b V R 5 c G U + R m 9 y b X V s Y T w v S X R l b V R 5 c G U + P E l 0 Z W 1 Q Y X R o P l N l Y 3 R p b 2 4 x L 0 t E T S 9 O Y W 1 l b i U y M H Z h b i U y M G t v b G 9 t b W V u J T I w Z 2 V 3 a W p 6 a W d k M T E 8 L 0 l 0 Z W 1 Q Y X R o P j w v S X R l b U x v Y 2 F 0 a W 9 u P j x T d G F i b G V F b n R y a W V z I C 8 + P C 9 J d G V t P j x J d G V t P j x J d G V t T G 9 j Y X R p b 2 4 + P E l 0 Z W 1 U e X B l P k Z v c m 1 1 b G E 8 L 0 l 0 Z W 1 U e X B l P j x J d G V t U G F 0 a D 5 T Z W N 0 a W 9 u M S 9 L R E 0 v V 2 F h c m R l J T I w d m V y d m F u Z 2 V u M j Y 8 L 0 l 0 Z W 1 Q Y X R o P j w v S X R l b U x v Y 2 F 0 a W 9 u P j x T d G F i b G V F b n R y a W V z I C 8 + P C 9 J d G V t P j x J d G V t P j x J d G V t T G 9 j Y X R p b 2 4 + P E l 0 Z W 1 U e X B l P k Z v c m 1 1 b G E 8 L 0 l 0 Z W 1 U e X B l P j x J d G V t U G F 0 a D 5 T Z W N 0 a W 9 u M S 9 L R E 0 v V 2 F h c m R l J T I w d m V y d m F u Z 2 V u M j c 8 L 0 l 0 Z W 1 Q Y X R o P j w v S X R l b U x v Y 2 F 0 a W 9 u P j x T d G F i b G V F b n R y a W V z I C 8 + P C 9 J d G V t P j x J d G V t P j x J d G V t T G 9 j Y X R p b 2 4 + P E l 0 Z W 1 U e X B l P k Z v c m 1 1 b G E 8 L 0 l 0 Z W 1 U e X B l P j x J d G V t U G F 0 a D 5 T Z W N 0 a W 9 u M S 9 L R E 0 v T m F t Z W 4 l M j B 2 Y W 4 l M j B r b 2 x v b W 1 l b i U y M G d l d 2 l q e m l n Z D E y P C 9 J d G V t U G F 0 a D 4 8 L 0 l 0 Z W 1 M b 2 N h d G l v b j 4 8 U 3 R h Y m x l R W 5 0 c m l l c y A v P j w v S X R l b T 4 8 S X R l b T 4 8 S X R l b U x v Y 2 F 0 a W 9 u P j x J d G V t V H l w Z T 5 G b 3 J t d W x h P C 9 J d G V t V H l w Z T 4 8 S X R l b V B h d G g + U 2 V j d G l v b j E v S 0 R N L 1 d h Y X J k Z S U y M H Z l c n Z h b m d l b j I 4 P C 9 J d G V t U G F 0 a D 4 8 L 0 l 0 Z W 1 M b 2 N h d G l v b j 4 8 U 3 R h Y m x l R W 5 0 c m l l c y A v P j w v S X R l b T 4 8 S X R l b T 4 8 S X R l b U x v Y 2 F 0 a W 9 u P j x J d G V t V H l w Z T 5 G b 3 J t d W x h P C 9 J d G V t V H l w Z T 4 8 S X R l b V B h d G g + U 2 V j d G l v b j E v S 0 R N L 1 d h Y X J k Z S U y M H Z l c n Z h b m d l b j I 5 P C 9 J d G V t U G F 0 a D 4 8 L 0 l 0 Z W 1 M b 2 N h d G l v b j 4 8 U 3 R h Y m x l R W 5 0 c m l l c y A v P j w v S X R l b T 4 8 S X R l b T 4 8 S X R l b U x v Y 2 F 0 a W 9 u P j x J d G V t V H l w Z T 5 G b 3 J t d W x h P C 9 J d G V t V H l w Z T 4 8 S X R l b V B h d G g + U 2 V j d G l v b j E v S 0 R N L 0 5 h b W V u J T I w d m F u J T I w a 2 9 s b 2 1 t Z W 4 l M j B n Z X d p a n p p Z 2 Q x M z w v S X R l b V B h d G g + P C 9 J d G V t T G 9 j Y X R p b 2 4 + P F N 0 Y W J s Z U V u d H J p Z X M g L z 4 8 L 0 l 0 Z W 0 + P E l 0 Z W 0 + P E l 0 Z W 1 M b 2 N h d G l v b j 4 8 S X R l b V R 5 c G U + R m 9 y b X V s Y T w v S X R l b V R 5 c G U + P E l 0 Z W 1 Q Y X R o P l N l Y 3 R p b 2 4 x L 0 t E T S 9 W b 2 x n b 3 J k Z S U y M H Z h b i U y M G t v b G 9 t b W V u J T I w Z 2 V 3 a W p 6 a W d k M T w v S X R l b V B h d G g + P C 9 J d G V t T G 9 j Y X R p b 2 4 + P F N 0 Y W J s Z U V u d H J p Z X M g L z 4 8 L 0 l 0 Z W 0 + P E l 0 Z W 0 + P E l 0 Z W 1 M b 2 N h d G l v b j 4 8 S X R l b V R 5 c G U + R m 9 y b X V s Y T w v S X R l b V R 5 c G U + P E l 0 Z W 1 Q Y X R o P l N l Y 3 R p b 2 4 x L 0 t E T S 9 X Y W F y Z G U l M j B 2 Z X J 2 Y W 5 n Z W 4 z M D w v S X R l b V B h d G g + P C 9 J d G V t T G 9 j Y X R p b 2 4 + P F N 0 Y W J s Z U V u d H J p Z X M g L z 4 8 L 0 l 0 Z W 0 + P E l 0 Z W 0 + P E l 0 Z W 1 M b 2 N h d G l v b j 4 8 S X R l b V R 5 c G U + R m 9 y b X V s Y T w v S X R l b V R 5 c G U + P E l 0 Z W 1 Q Y X R o P l N l Y 3 R p b 2 4 x L 0 t E T S 9 X Y W F y Z G U l M j B 2 Z X J 2 Y W 5 n Z W 4 z M T w v S X R l b V B h d G g + P C 9 J d G V t T G 9 j Y X R p b 2 4 + P F N 0 Y W J s Z U V u d H J p Z X M g L z 4 8 L 0 l 0 Z W 0 + P E l 0 Z W 0 + P E l 0 Z W 1 M b 2 N h d G l v b j 4 8 S X R l b V R 5 c G U + R m 9 y b X V s Y T w v S X R l b V R 5 c G U + P E l 0 Z W 1 Q Y X R o P l N l Y 3 R p b 2 4 x L 0 t E T S 9 O Y W 1 l b i U y M H Z h b i U y M G t v b G 9 t b W V u J T I w Z 2 V 3 a W p 6 a W d k M T Q 8 L 0 l 0 Z W 1 Q Y X R o P j w v S X R l b U x v Y 2 F 0 a W 9 u P j x T d G F i b G V F b n R y a W V z I C 8 + P C 9 J d G V t P j x J d G V t P j x J d G V t T G 9 j Y X R p b 2 4 + P E l 0 Z W 1 U e X B l P k Z v c m 1 1 b G E 8 L 0 l 0 Z W 1 U e X B l P j x J d G V t U G F 0 a D 5 T Z W N 0 a W 9 u M S 9 L R E 0 v V m 9 s Z 2 9 y Z G U l M j B 2 Y W 4 l M j B r b 2 x v b W 1 l b i U y M G d l d 2 l q e m l n Z D I 8 L 0 l 0 Z W 1 Q Y X R o P j w v S X R l b U x v Y 2 F 0 a W 9 u P j x T d G F i b G V F b n R y a W V z I C 8 + P C 9 J d G V t P j x J d G V t P j x J d G V t T G 9 j Y X R p b 2 4 + P E l 0 Z W 1 U e X B l P k Z v c m 1 1 b G E 8 L 0 l 0 Z W 1 U e X B l P j x J d G V t U G F 0 a D 5 T Z W N 0 a W 9 u M S 9 L R E 0 v T m F t Z W 4 l M j B 2 Y W 4 l M j B r b 2 x v b W 1 l b i U y M G d l d 2 l q e m l n Z D E 1 P C 9 J d G V t U G F 0 a D 4 8 L 0 l 0 Z W 1 M b 2 N h d G l v b j 4 8 U 3 R h Y m x l R W 5 0 c m l l c y A v P j w v S X R l b T 4 8 S X R l b T 4 8 S X R l b U x v Y 2 F 0 a W 9 u P j x J d G V t V H l w Z T 5 G b 3 J t d W x h P C 9 J d G V t V H l w Z T 4 8 S X R l b V B h d G g + U 2 V j d G l v b j E v S 0 R N L 1 d h Y X J k Z S U y M H Z l c n Z h b m d l b j M y P C 9 J d G V t U G F 0 a D 4 8 L 0 l 0 Z W 1 M b 2 N h d G l v b j 4 8 U 3 R h Y m x l R W 5 0 c m l l c y A v P j w v S X R l b T 4 8 S X R l b T 4 8 S X R l b U x v Y 2 F 0 a W 9 u P j x J d G V t V H l w Z T 5 G b 3 J t d W x h P C 9 J d G V t V H l w Z T 4 8 S X R l b V B h d G g + U 2 V j d G l v b j E v S 0 R N L 1 d h Y X J k Z S U y M H Z l c n Z h b m d l b j M z P C 9 J d G V t U G F 0 a D 4 8 L 0 l 0 Z W 1 M b 2 N h d G l v b j 4 8 U 3 R h Y m x l R W 5 0 c m l l c y A v P j w v S X R l b T 4 8 S X R l b T 4 8 S X R l b U x v Y 2 F 0 a W 9 u P j x J d G V t V H l w Z T 5 G b 3 J t d W x h P C 9 J d G V t V H l w Z T 4 8 S X R l b V B h d G g + U 2 V j d G l v b j E v S 0 R N L 0 5 h b W V u J T I w d m F u J T I w a 2 9 s b 2 1 t Z W 4 l M j B n Z X d p a n p p Z 2 Q x N j w v S X R l b V B h d G g + P C 9 J d G V t T G 9 j Y X R p b 2 4 + P F N 0 Y W J s Z U V u d H J p Z X M g L z 4 8 L 0 l 0 Z W 0 + P E l 0 Z W 0 + P E l 0 Z W 1 M b 2 N h d G l v b j 4 8 S X R l b V R 5 c G U + R m 9 y b X V s Y T w v S X R l b V R 5 c G U + P E l 0 Z W 1 Q Y X R o P l N l Y 3 R p b 2 4 x L 0 t E T S 9 X Y W F y Z G U l M j B 2 Z X J 2 Y W 5 n Z W 4 z N D w v S X R l b V B h d G g + P C 9 J d G V t T G 9 j Y X R p b 2 4 + P F N 0 Y W J s Z U V u d H J p Z X M g L z 4 8 L 0 l 0 Z W 0 + P E l 0 Z W 0 + P E l 0 Z W 1 M b 2 N h d G l v b j 4 8 S X R l b V R 5 c G U + R m 9 y b X V s Y T w v S X R l b V R 5 c G U + P E l 0 Z W 1 Q Y X R o P l N l Y 3 R p b 2 4 x L 0 t E T S 9 X Y W F y Z G U l M j B 2 Z X J 2 Y W 5 n Z W 4 z N T w v S X R l b V B h d G g + P C 9 J d G V t T G 9 j Y X R p b 2 4 + P F N 0 Y W J s Z U V u d H J p Z X M g L z 4 8 L 0 l 0 Z W 0 + P E l 0 Z W 0 + P E l 0 Z W 1 M b 2 N h d G l v b j 4 8 S X R l b V R 5 c G U + R m 9 y b X V s Y T w v S X R l b V R 5 c G U + P E l 0 Z W 1 Q Y X R o P l N l Y 3 R p b 2 4 x L 0 t E T S 9 O Y W 1 l b i U y M H Z h b i U y M G t v b G 9 t b W V u J T I w Z 2 V 3 a W p 6 a W d k M T c 8 L 0 l 0 Z W 1 Q Y X R o P j w v S X R l b U x v Y 2 F 0 a W 9 u P j x T d G F i b G V F b n R y a W V z I C 8 + P C 9 J d G V t P j x J d G V t P j x J d G V t T G 9 j Y X R p b 2 4 + P E l 0 Z W 1 U e X B l P k Z v c m 1 1 b G E 8 L 0 l 0 Z W 1 U e X B l P j x J d G V t U G F 0 a D 5 T Z W N 0 a W 9 u M S 9 L R E 0 v V 2 F h c m R l J T I w d m V y d m F u Z 2 V u M z Y 8 L 0 l 0 Z W 1 Q Y X R o P j w v S X R l b U x v Y 2 F 0 a W 9 u P j x T d G F i b G V F b n R y a W V z I C 8 + P C 9 J d G V t P j x J d G V t P j x J d G V t T G 9 j Y X R p b 2 4 + P E l 0 Z W 1 U e X B l P k Z v c m 1 1 b G E 8 L 0 l 0 Z W 1 U e X B l P j x J d G V t U G F 0 a D 5 T Z W N 0 a W 9 u M S 9 L R E 0 v V 2 F h c m R l J T I w d m V y d m F u Z 2 V u M z c 8 L 0 l 0 Z W 1 Q Y X R o P j w v S X R l b U x v Y 2 F 0 a W 9 u P j x T d G F i b G V F b n R y a W V z I C 8 + P C 9 J d G V t P j x J d G V t P j x J d G V t T G 9 j Y X R p b 2 4 + P E l 0 Z W 1 U e X B l P k Z v c m 1 1 b G E 8 L 0 l 0 Z W 1 U e X B l P j x J d G V t U G F 0 a D 5 T Z W N 0 a W 9 u M S 9 L R E 0 v V 2 F h c m R l J T I w d m V y d m F u Z 2 V u M z g 8 L 0 l 0 Z W 1 Q Y X R o P j w v S X R l b U x v Y 2 F 0 a W 9 u P j x T d G F i b G V F b n R y a W V z I C 8 + P C 9 J d G V t P j x J d G V t P j x J d G V t T G 9 j Y X R p b 2 4 + P E l 0 Z W 1 U e X B l P k Z v c m 1 1 b G E 8 L 0 l 0 Z W 1 U e X B l P j x J d G V t U G F 0 a D 5 T Z W N 0 a W 9 u M S 9 L R E 0 v S 2 9 s b 2 1 t Z W 4 l M j B z Y W 1 l b m d l d m 9 l Z 2 Q 8 L 0 l 0 Z W 1 Q Y X R o P j w v S X R l b U x v Y 2 F 0 a W 9 u P j x T d G F i b G V F b n R y a W V z I C 8 + P C 9 J d G V t P j x J d G V t P j x J d G V t T G 9 j Y X R p b 2 4 + P E l 0 Z W 1 U e X B l P k Z v c m 1 1 b G E 8 L 0 l 0 Z W 1 U e X B l P j x J d G V t U G F 0 a D 5 T Z W N 0 a W 9 u M S 9 L R E 0 v S 2 9 s b 2 1 t Z W 4 l M j B z Y W 1 l b m d l d m 9 l Z 2 Q x P C 9 J d G V t U G F 0 a D 4 8 L 0 l 0 Z W 1 M b 2 N h d G l v b j 4 8 U 3 R h Y m x l R W 5 0 c m l l c y A v P j w v S X R l b T 4 8 S X R l b T 4 8 S X R l b U x v Y 2 F 0 a W 9 u P j x J d G V t V H l w Z T 5 G b 3 J t d W x h P C 9 J d G V t V H l w Z T 4 8 S X R l b V B h d G g + U 2 V j d G l v b j E v S 0 R N L 0 t v b G 9 t b W V u J T I w c 2 F t Z W 5 n Z X Z v Z W d k M j w v S X R l b V B h d G g + P C 9 J d G V t T G 9 j Y X R p b 2 4 + P F N 0 Y W J s Z U V u d H J p Z X M g L z 4 8 L 0 l 0 Z W 0 + P E l 0 Z W 0 + P E l 0 Z W 1 M b 2 N h d G l v b j 4 8 S X R l b V R 5 c G U + R m 9 y b X V s Y T w v S X R l b V R 5 c G U + P E l 0 Z W 1 Q Y X R o P l N l Y 3 R p b 2 4 x L 0 t E T S 9 X Y W F y Z G U l M j B 2 Z X J 2 Y W 5 n Z W 4 z O T w v S X R l b V B h d G g + P C 9 J d G V t T G 9 j Y X R p b 2 4 + P F N 0 Y W J s Z U V u d H J p Z X M g L z 4 8 L 0 l 0 Z W 0 + P E l 0 Z W 0 + P E l 0 Z W 1 M b 2 N h d G l v b j 4 8 S X R l b V R 5 c G U + R m 9 y b X V s Y T w v S X R l b V R 5 c G U + P E l 0 Z W 1 Q Y X R o P l N l Y 3 R p b 2 4 x L 0 t E T S 9 O Y W 1 l b i U y M H Z h b i U y M G t v b G 9 t b W V u J T I w Z 2 V 3 a W p 6 a W d k M T k 8 L 0 l 0 Z W 1 Q Y X R o P j w v S X R l b U x v Y 2 F 0 a W 9 u P j x T d G F i b G V F b n R y a W V z I C 8 + P C 9 J d G V t P j x J d G V t P j x J d G V t T G 9 j Y X R p b 2 4 + P E l 0 Z W 1 U e X B l P k Z v c m 1 1 b G E 8 L 0 l 0 Z W 1 U e X B l P j x J d G V t U G F 0 a D 5 T Z W N 0 a W 9 u M S 9 L R E 0 v V 2 F h c m R l J T I w d m V y d m F u Z 2 V u N D A 8 L 0 l 0 Z W 1 Q Y X R o P j w v S X R l b U x v Y 2 F 0 a W 9 u P j x T d G F i b G V F b n R y a W V z I C 8 + P C 9 J d G V t P j x J d G V t P j x J d G V t T G 9 j Y X R p b 2 4 + P E l 0 Z W 1 U e X B l P k Z v c m 1 1 b G E 8 L 0 l 0 Z W 1 U e X B l P j x J d G V t U G F 0 a D 5 T Z W N 0 a W 9 u M S 9 L R E 0 v U m l q Z W 4 l M j B n Z X N v c n R l Z X J k P C 9 J d G V t U G F 0 a D 4 8 L 0 l 0 Z W 1 M b 2 N h d G l v b j 4 8 U 3 R h Y m x l R W 5 0 c m l l c y A v P j w v S X R l b T 4 8 S X R l b T 4 8 S X R l b U x v Y 2 F 0 a W 9 u P j x J d G V t V H l w Z T 5 G b 3 J t d W x h P C 9 J d G V t V H l w Z T 4 8 S X R l b V B h d G g + U 2 V j d G l v b j E v S 0 R M L 0 J y b 2 4 8 L 0 l 0 Z W 1 Q Y X R o P j w v S X R l b U x v Y 2 F 0 a W 9 u P j x T d G F i b G V F b n R y a W V z I C 8 + P C 9 J d G V t P j x J d G V t P j x J d G V t T G 9 j Y X R p b 2 4 + P E l 0 Z W 1 U e X B l P k Z v c m 1 1 b G E 8 L 0 l 0 Z W 1 U e X B l P j x J d G V t U G F 0 a D 5 T Z W N 0 a W 9 u M S 9 L R E w v V H l w Z S U y M G d l d 2 l q e m l n Z D w v S X R l b V B h d G g + P C 9 J d G V t T G 9 j Y X R p b 2 4 + P F N 0 Y W J s Z U V u d H J p Z X M g L z 4 8 L 0 l 0 Z W 0 + P E l 0 Z W 0 + P E l 0 Z W 1 M b 2 N h d G l v b j 4 8 S X R l b V R 5 c G U + R m 9 y b X V s Y T w v S X R l b V R 5 c G U + P E l 0 Z W 1 Q Y X R o P l N l Y 3 R p b 2 4 x L 0 t E T C 9 I Z W F k Z X J z J T I w b W V 0 J T I w d m V y a G 9 v Z 2 Q l M j B u a X Z l Y X U 8 L 0 l 0 Z W 1 Q Y X R o P j w v S X R l b U x v Y 2 F 0 a W 9 u P j x T d G F i b G V F b n R y a W V z I C 8 + P C 9 J d G V t P j x J d G V t P j x J d G V t T G 9 j Y X R p b 2 4 + P E l 0 Z W 1 U e X B l P k Z v c m 1 1 b G E 8 L 0 l 0 Z W 1 U e X B l P j x J d G V t U G F 0 a D 5 T Z W N 0 a W 9 u M S 9 L R E w v S 2 9 s b 2 1 t Z W 4 l M j B 2 Z X J 3 a W p k Z X J k P C 9 J d G V t U G F 0 a D 4 8 L 0 l 0 Z W 1 M b 2 N h d G l v b j 4 8 U 3 R h Y m x l R W 5 0 c m l l c y A v P j w v S X R l b T 4 8 S X R l b T 4 8 S X R l b U x v Y 2 F 0 a W 9 u P j x J d G V t V H l w Z T 5 G b 3 J t d W x h P C 9 J d G V t V H l w Z T 4 8 S X R l b V B h d G g + U 2 V j d G l v b j E v S 0 R M L 1 Z v b G d v c m R l J T I w d m F u J T I w a 2 9 s b 2 1 t Z W 4 l M j B n Z X d p a n p p Z 2 Q 8 L 0 l 0 Z W 1 Q Y X R o P j w v S X R l b U x v Y 2 F 0 a W 9 u P j x T d G F i b G V F b n R y a W V z I C 8 + P C 9 J d G V t P j x J d G V t P j x J d G V t T G 9 j Y X R p b 2 4 + P E l 0 Z W 1 U e X B l P k Z v c m 1 1 b G E 8 L 0 l 0 Z W 1 U e X B l P j x J d G V t U G F 0 a D 5 T Z W N 0 a W 9 u M S 9 L R E w v T m F t Z W 4 l M j B 2 Y W 4 l M j B r b 2 x v b W 1 l b i U y M G d l d 2 l q e m l n Z D w v S X R l b V B h d G g + P C 9 J d G V t T G 9 j Y X R p b 2 4 + P F N 0 Y W J s Z U V u d H J p Z X M g L z 4 8 L 0 l 0 Z W 0 + P E l 0 Z W 0 + P E l 0 Z W 1 M b 2 N h d G l v b j 4 8 S X R l b V R 5 c G U + R m 9 y b X V s Y T w v S X R l b V R 5 c G U + P E l 0 Z W 1 Q Y X R o P l N l Y 3 R p b 2 4 x L 0 t E T C 9 X Y W F y Z G U l M j B 2 Z X J 2 Y W 5 n Z W 4 8 L 0 l 0 Z W 1 Q Y X R o P j w v S X R l b U x v Y 2 F 0 a W 9 u P j x T d G F i b G V F b n R y a W V z I C 8 + P C 9 J d G V t P j x J d G V t P j x J d G V t T G 9 j Y X R p b 2 4 + P E l 0 Z W 1 U e X B l P k Z v c m 1 1 b G E 8 L 0 l 0 Z W 1 U e X B l P j x J d G V t U G F 0 a D 5 T Z W N 0 a W 9 u M S 9 L R E w v V 2 F h c m R l J T I w d m V y d m F u Z 2 V u M T w v S X R l b V B h d G g + P C 9 J d G V t T G 9 j Y X R p b 2 4 + P F N 0 Y W J s Z U V u d H J p Z X M g L z 4 8 L 0 l 0 Z W 0 + P E l 0 Z W 0 + P E l 0 Z W 1 M b 2 N h d G l v b j 4 8 S X R l b V R 5 c G U + R m 9 y b X V s Y T w v S X R l b V R 5 c G U + P E l 0 Z W 1 Q Y X R o P l N l Y 3 R p b 2 4 x L 0 t E T C 9 O Y W 1 l b i U y M H Z h b i U y M G t v b G 9 t b W V u J T I w Z 2 V 3 a W p 6 a W d k M T w v S X R l b V B h d G g + P C 9 J d G V t T G 9 j Y X R p b 2 4 + P F N 0 Y W J s Z U V u d H J p Z X M g L z 4 8 L 0 l 0 Z W 0 + P E l 0 Z W 0 + P E l 0 Z W 1 M b 2 N h d G l v b j 4 8 S X R l b V R 5 c G U + R m 9 y b X V s Y T w v S X R l b V R 5 c G U + P E l 0 Z W 1 Q Y X R o P l N l Y 3 R p b 2 4 x L 0 t E T C 9 X Y W F y Z G U l M j B 2 Z X J 2 Y W 5 n Z W 4 y P C 9 J d G V t U G F 0 a D 4 8 L 0 l 0 Z W 1 M b 2 N h d G l v b j 4 8 U 3 R h Y m x l R W 5 0 c m l l c y A v P j w v S X R l b T 4 8 S X R l b T 4 8 S X R l b U x v Y 2 F 0 a W 9 u P j x J d G V t V H l w Z T 5 G b 3 J t d W x h P C 9 J d G V t V H l w Z T 4 8 S X R l b V B h d G g + U 2 V j d G l v b j E v S 0 R M L 1 d h Y X J k Z S U y M H Z l c n Z h b m d l b j M 8 L 0 l 0 Z W 1 Q Y X R o P j w v S X R l b U x v Y 2 F 0 a W 9 u P j x T d G F i b G V F b n R y a W V z I C 8 + P C 9 J d G V t P j x J d G V t P j x J d G V t T G 9 j Y X R p b 2 4 + P E l 0 Z W 1 U e X B l P k Z v c m 1 1 b G E 8 L 0 l 0 Z W 1 U e X B l P j x J d G V t U G F 0 a D 5 T Z W N 0 a W 9 u M S 9 L R E w v T m F t Z W 4 l M j B 2 Y W 4 l M j B r b 2 x v b W 1 l b i U y M G d l d 2 l q e m l n Z D I 8 L 0 l 0 Z W 1 Q Y X R o P j w v S X R l b U x v Y 2 F 0 a W 9 u P j x T d G F i b G V F b n R y a W V z I C 8 + P C 9 J d G V t P j x J d G V t P j x J d G V t T G 9 j Y X R p b 2 4 + P E l 0 Z W 1 U e X B l P k Z v c m 1 1 b G E 8 L 0 l 0 Z W 1 U e X B l P j x J d G V t U G F 0 a D 5 T Z W N 0 a W 9 u M S 9 L R E w v V 2 F h c m R l J T I w d m V y d m F u Z 2 V u N D w v S X R l b V B h d G g + P C 9 J d G V t T G 9 j Y X R p b 2 4 + P F N 0 Y W J s Z U V u d H J p Z X M g L z 4 8 L 0 l 0 Z W 0 + P E l 0 Z W 0 + P E l 0 Z W 1 M b 2 N h d G l v b j 4 8 S X R l b V R 5 c G U + R m 9 y b X V s Y T w v S X R l b V R 5 c G U + P E l 0 Z W 1 Q Y X R o P l N l Y 3 R p b 2 4 x L 0 t E T C 9 X Y W F y Z G U l M j B 2 Z X J 2 Y W 5 n Z W 4 1 P C 9 J d G V t U G F 0 a D 4 8 L 0 l 0 Z W 1 M b 2 N h d G l v b j 4 8 U 3 R h Y m x l R W 5 0 c m l l c y A v P j w v S X R l b T 4 8 S X R l b T 4 8 S X R l b U x v Y 2 F 0 a W 9 u P j x J d G V t V H l w Z T 5 G b 3 J t d W x h P C 9 J d G V t V H l w Z T 4 8 S X R l b V B h d G g + U 2 V j d G l v b j E v S 0 R M L 0 t v b G 9 t J T I w c 3 B s a X R z Z W 4 l M j B v c C U y M H N j a G V p Z G l u Z 3 N 0 Z W t l b j w v S X R l b V B h d G g + P C 9 J d G V t T G 9 j Y X R p b 2 4 + P F N 0 Y W J s Z U V u d H J p Z X M g L z 4 8 L 0 l 0 Z W 0 + P E l 0 Z W 0 + P E l 0 Z W 1 M b 2 N h d G l v b j 4 8 S X R l b V R 5 c G U + R m 9 y b X V s Y T w v S X R l b V R 5 c G U + P E l 0 Z W 1 Q Y X R o P l N l Y 3 R p b 2 4 x L 0 t E T C 9 O Y W 1 l b i U y M H Z h b i U y M G t v b G 9 t b W V u J T I w Z 2 V 3 a W p 6 a W d k M z w v S X R l b V B h d G g + P C 9 J d G V t T G 9 j Y X R p b 2 4 + P F N 0 Y W J s Z U V u d H J p Z X M g L z 4 8 L 0 l 0 Z W 0 + P E l 0 Z W 0 + P E l 0 Z W 1 M b 2 N h d G l v b j 4 8 S X R l b V R 5 c G U + R m 9 y b X V s Y T w v S X R l b V R 5 c G U + P E l 0 Z W 1 Q Y X R o P l N l Y 3 R p b 2 4 x L 0 t E T C 9 X Y W F y Z G U l M j B 2 Z X J 2 Y W 5 n Z W 4 2 P C 9 J d G V t U G F 0 a D 4 8 L 0 l 0 Z W 1 M b 2 N h d G l v b j 4 8 U 3 R h Y m x l R W 5 0 c m l l c y A v P j w v S X R l b T 4 8 S X R l b T 4 8 S X R l b U x v Y 2 F 0 a W 9 u P j x J d G V t V H l w Z T 5 G b 3 J t d W x h P C 9 J d G V t V H l w Z T 4 8 S X R l b V B h d G g + U 2 V j d G l v b j E v S 0 R M L 0 5 h b W V u J T I w d m F u J T I w a 2 9 s b 2 1 t Z W 4 l M j B n Z X d p a n p p Z 2 Q 0 P C 9 J d G V t U G F 0 a D 4 8 L 0 l 0 Z W 1 M b 2 N h d G l v b j 4 8 U 3 R h Y m x l R W 5 0 c m l l c y A v P j w v S X R l b T 4 8 S X R l b T 4 8 S X R l b U x v Y 2 F 0 a W 9 u P j x J d G V t V H l w Z T 5 G b 3 J t d W x h P C 9 J d G V t V H l w Z T 4 8 S X R l b V B h d G g + U 2 V j d G l v b j E v S 0 R M L 1 d h Y X J k Z S U y M H Z l c n Z h b m d l b j c 8 L 0 l 0 Z W 1 Q Y X R o P j w v S X R l b U x v Y 2 F 0 a W 9 u P j x T d G F i b G V F b n R y a W V z I C 8 + P C 9 J d G V t P j x J d G V t P j x J d G V t T G 9 j Y X R p b 2 4 + P E l 0 Z W 1 U e X B l P k Z v c m 1 1 b G E 8 L 0 l 0 Z W 1 U e X B l P j x J d G V t U G F 0 a D 5 T Z W N 0 a W 9 u M S 9 L R E w v V 2 F h c m R l J T I w d m V y d m F u Z 2 V u O D w v S X R l b V B h d G g + P C 9 J d G V t T G 9 j Y X R p b 2 4 + P F N 0 Y W J s Z U V u d H J p Z X M g L z 4 8 L 0 l 0 Z W 0 + P E l 0 Z W 0 + P E l 0 Z W 1 M b 2 N h d G l v b j 4 8 S X R l b V R 5 c G U + R m 9 y b X V s Y T w v S X R l b V R 5 c G U + P E l 0 Z W 1 Q Y X R o P l N l Y 3 R p b 2 4 x L 0 t E T C 9 X Y W F y Z G U l M j B 2 Z X J 2 Y W 5 n Z W 4 5 P C 9 J d G V t U G F 0 a D 4 8 L 0 l 0 Z W 1 M b 2 N h d G l v b j 4 8 U 3 R h Y m x l R W 5 0 c m l l c y A v P j w v S X R l b T 4 8 S X R l b T 4 8 S X R l b U x v Y 2 F 0 a W 9 u P j x J d G V t V H l w Z T 5 G b 3 J t d W x h P C 9 J d G V t V H l w Z T 4 8 S X R l b V B h d G g + U 2 V j d G l v b j E v S 0 R M L 0 5 h b W V u J T I w d m F u J T I w a 2 9 s b 2 1 t Z W 4 l M j B n Z X d p a n p p Z 2 Q 1 P C 9 J d G V t U G F 0 a D 4 8 L 0 l 0 Z W 1 M b 2 N h d G l v b j 4 8 U 3 R h Y m x l R W 5 0 c m l l c y A v P j w v S X R l b T 4 8 S X R l b T 4 8 S X R l b U x v Y 2 F 0 a W 9 u P j x J d G V t V H l w Z T 5 G b 3 J t d W x h P C 9 J d G V t V H l w Z T 4 8 S X R l b V B h d G g + U 2 V j d G l v b j E v S 0 R M L 1 d h Y X J k Z S U y M H Z l c n Z h b m d l b j I x P C 9 J d G V t U G F 0 a D 4 8 L 0 l 0 Z W 1 M b 2 N h d G l v b j 4 8 U 3 R h Y m x l R W 5 0 c m l l c y A v P j w v S X R l b T 4 8 S X R l b T 4 8 S X R l b U x v Y 2 F 0 a W 9 u P j x J d G V t V H l w Z T 5 G b 3 J t d W x h P C 9 J d G V t V H l w Z T 4 8 S X R l b V B h d G g + U 2 V j d G l v b j E v S 0 R M L 1 d h Y X J k Z S U y M H Z l c n Z h b m d l b j I y P C 9 J d G V t U G F 0 a D 4 8 L 0 l 0 Z W 1 M b 2 N h d G l v b j 4 8 U 3 R h Y m x l R W 5 0 c m l l c y A v P j w v S X R l b T 4 8 S X R l b T 4 8 S X R l b U x v Y 2 F 0 a W 9 u P j x J d G V t V H l w Z T 5 G b 3 J t d W x h P C 9 J d G V t V H l w Z T 4 8 S X R l b V B h d G g + U 2 V j d G l v b j E v S 0 R M L 1 d h Y X J k Z S U y M H Z l c n Z h b m d l b j I z P C 9 J d G V t U G F 0 a D 4 8 L 0 l 0 Z W 1 M b 2 N h d G l v b j 4 8 U 3 R h Y m x l R W 5 0 c m l l c y A v P j w v S X R l b T 4 8 S X R l b T 4 8 S X R l b U x v Y 2 F 0 a W 9 u P j x J d G V t V H l w Z T 5 G b 3 J t d W x h P C 9 J d G V t V H l w Z T 4 8 S X R l b V B h d G g + U 2 V j d G l v b j E v S 0 R M L 1 d h Y X J k Z S U y M H Z l c n Z h b m d l b j I 0 P C 9 J d G V t U G F 0 a D 4 8 L 0 l 0 Z W 1 M b 2 N h d G l v b j 4 8 U 3 R h Y m x l R W 5 0 c m l l c y A v P j w v S X R l b T 4 8 S X R l b T 4 8 S X R l b U x v Y 2 F 0 a W 9 u P j x J d G V t V H l w Z T 5 G b 3 J t d W x h P C 9 J d G V t V H l w Z T 4 8 S X R l b V B h d G g + U 2 V j d G l v b j E v S 0 R M L 1 d h Y X J k Z S U y M H Z l c n Z h b m d l b j I 1 P C 9 J d G V t U G F 0 a D 4 8 L 0 l 0 Z W 1 M b 2 N h d G l v b j 4 8 U 3 R h Y m x l R W 5 0 c m l l c y A v P j w v S X R l b T 4 8 S X R l b T 4 8 S X R l b U x v Y 2 F 0 a W 9 u P j x J d G V t V H l w Z T 5 G b 3 J t d W x h P C 9 J d G V t V H l w Z T 4 8 S X R l b V B h d G g + U 2 V j d G l v b j E v S 0 R M L 0 5 h b W V u J T I w d m F u J T I w a 2 9 s b 2 1 t Z W 4 l M j B n Z X d p a n p p Z 2 Q x M T w v S X R l b V B h d G g + P C 9 J d G V t T G 9 j Y X R p b 2 4 + P F N 0 Y W J s Z U V u d H J p Z X M g L z 4 8 L 0 l 0 Z W 0 + P E l 0 Z W 0 + P E l 0 Z W 1 M b 2 N h d G l v b j 4 8 S X R l b V R 5 c G U + R m 9 y b X V s Y T w v S X R l b V R 5 c G U + P E l 0 Z W 1 Q Y X R o P l N l Y 3 R p b 2 4 x L 0 t E T C 9 X Y W F y Z G U l M j B 2 Z X J 2 Y W 5 n Z W 4 y N j w v S X R l b V B h d G g + P C 9 J d G V t T G 9 j Y X R p b 2 4 + P F N 0 Y W J s Z U V u d H J p Z X M g L z 4 8 L 0 l 0 Z W 0 + P E l 0 Z W 0 + P E l 0 Z W 1 M b 2 N h d G l v b j 4 8 S X R l b V R 5 c G U + R m 9 y b X V s Y T w v S X R l b V R 5 c G U + P E l 0 Z W 1 Q Y X R o P l N l Y 3 R p b 2 4 x L 0 t E T C 9 X Y W F y Z G U l M j B 2 Z X J 2 Y W 5 n Z W 4 y N z w v S X R l b V B h d G g + P C 9 J d G V t T G 9 j Y X R p b 2 4 + P F N 0 Y W J s Z U V u d H J p Z X M g L z 4 8 L 0 l 0 Z W 0 + P E l 0 Z W 0 + P E l 0 Z W 1 M b 2 N h d G l v b j 4 8 S X R l b V R 5 c G U + R m 9 y b X V s Y T w v S X R l b V R 5 c G U + P E l 0 Z W 1 Q Y X R o P l N l Y 3 R p b 2 4 x L 0 t E T C 9 O Y W 1 l b i U y M H Z h b i U y M G t v b G 9 t b W V u J T I w Z 2 V 3 a W p 6 a W d k M T I 8 L 0 l 0 Z W 1 Q Y X R o P j w v S X R l b U x v Y 2 F 0 a W 9 u P j x T d G F i b G V F b n R y a W V z I C 8 + P C 9 J d G V t P j x J d G V t P j x J d G V t T G 9 j Y X R p b 2 4 + P E l 0 Z W 1 U e X B l P k Z v c m 1 1 b G E 8 L 0 l 0 Z W 1 U e X B l P j x J d G V t U G F 0 a D 5 T Z W N 0 a W 9 u M S 9 L R E w v V 2 F h c m R l J T I w d m V y d m F u Z 2 V u M j g 8 L 0 l 0 Z W 1 Q Y X R o P j w v S X R l b U x v Y 2 F 0 a W 9 u P j x T d G F i b G V F b n R y a W V z I C 8 + P C 9 J d G V t P j x J d G V t P j x J d G V t T G 9 j Y X R p b 2 4 + P E l 0 Z W 1 U e X B l P k Z v c m 1 1 b G E 8 L 0 l 0 Z W 1 U e X B l P j x J d G V t U G F 0 a D 5 T Z W N 0 a W 9 u M S 9 L R E w v V 2 F h c m R l J T I w d m V y d m F u Z 2 V u M j k 8 L 0 l 0 Z W 1 Q Y X R o P j w v S X R l b U x v Y 2 F 0 a W 9 u P j x T d G F i b G V F b n R y a W V z I C 8 + P C 9 J d G V t P j x J d G V t P j x J d G V t T G 9 j Y X R p b 2 4 + P E l 0 Z W 1 U e X B l P k Z v c m 1 1 b G E 8 L 0 l 0 Z W 1 U e X B l P j x J d G V t U G F 0 a D 5 T Z W N 0 a W 9 u M S 9 L R E w v T m F t Z W 4 l M j B 2 Y W 4 l M j B r b 2 x v b W 1 l b i U y M G d l d 2 l q e m l n Z D E z P C 9 J d G V t U G F 0 a D 4 8 L 0 l 0 Z W 1 M b 2 N h d G l v b j 4 8 U 3 R h Y m x l R W 5 0 c m l l c y A v P j w v S X R l b T 4 8 S X R l b T 4 8 S X R l b U x v Y 2 F 0 a W 9 u P j x J d G V t V H l w Z T 5 G b 3 J t d W x h P C 9 J d G V t V H l w Z T 4 8 S X R l b V B h d G g + U 2 V j d G l v b j E v S 0 R M L 1 Z v b G d v c m R l J T I w d m F u J T I w a 2 9 s b 2 1 t Z W 4 l M j B n Z X d p a n p p Z 2 Q x P C 9 J d G V t U G F 0 a D 4 8 L 0 l 0 Z W 1 M b 2 N h d G l v b j 4 8 U 3 R h Y m x l R W 5 0 c m l l c y A v P j w v S X R l b T 4 8 S X R l b T 4 8 S X R l b U x v Y 2 F 0 a W 9 u P j x J d G V t V H l w Z T 5 G b 3 J t d W x h P C 9 J d G V t V H l w Z T 4 8 S X R l b V B h d G g + U 2 V j d G l v b j E v S 0 R M L 1 d h Y X J k Z S U y M H Z l c n Z h b m d l b j M w P C 9 J d G V t U G F 0 a D 4 8 L 0 l 0 Z W 1 M b 2 N h d G l v b j 4 8 U 3 R h Y m x l R W 5 0 c m l l c y A v P j w v S X R l b T 4 8 S X R l b T 4 8 S X R l b U x v Y 2 F 0 a W 9 u P j x J d G V t V H l w Z T 5 G b 3 J t d W x h P C 9 J d G V t V H l w Z T 4 8 S X R l b V B h d G g + U 2 V j d G l v b j E v S 0 R M L 1 d h Y X J k Z S U y M H Z l c n Z h b m d l b j M x P C 9 J d G V t U G F 0 a D 4 8 L 0 l 0 Z W 1 M b 2 N h d G l v b j 4 8 U 3 R h Y m x l R W 5 0 c m l l c y A v P j w v S X R l b T 4 8 S X R l b T 4 8 S X R l b U x v Y 2 F 0 a W 9 u P j x J d G V t V H l w Z T 5 G b 3 J t d W x h P C 9 J d G V t V H l w Z T 4 8 S X R l b V B h d G g + U 2 V j d G l v b j E v S 0 R M L 0 5 h b W V u J T I w d m F u J T I w a 2 9 s b 2 1 t Z W 4 l M j B n Z X d p a n p p Z 2 Q x N D w v S X R l b V B h d G g + P C 9 J d G V t T G 9 j Y X R p b 2 4 + P F N 0 Y W J s Z U V u d H J p Z X M g L z 4 8 L 0 l 0 Z W 0 + P E l 0 Z W 0 + P E l 0 Z W 1 M b 2 N h d G l v b j 4 8 S X R l b V R 5 c G U + R m 9 y b X V s Y T w v S X R l b V R 5 c G U + P E l 0 Z W 1 Q Y X R o P l N l Y 3 R p b 2 4 x L 0 t E T C 9 W b 2 x n b 3 J k Z S U y M H Z h b i U y M G t v b G 9 t b W V u J T I w Z 2 V 3 a W p 6 a W d k M j w v S X R l b V B h d G g + P C 9 J d G V t T G 9 j Y X R p b 2 4 + P F N 0 Y W J s Z U V u d H J p Z X M g L z 4 8 L 0 l 0 Z W 0 + P E l 0 Z W 0 + P E l 0 Z W 1 M b 2 N h d G l v b j 4 8 S X R l b V R 5 c G U + R m 9 y b X V s Y T w v S X R l b V R 5 c G U + P E l 0 Z W 1 Q Y X R o P l N l Y 3 R p b 2 4 x L 0 t E T C 9 O Y W 1 l b i U y M H Z h b i U y M G t v b G 9 t b W V u J T I w Z 2 V 3 a W p 6 a W d k M T U 8 L 0 l 0 Z W 1 Q Y X R o P j w v S X R l b U x v Y 2 F 0 a W 9 u P j x T d G F i b G V F b n R y a W V z I C 8 + P C 9 J d G V t P j x J d G V t P j x J d G V t T G 9 j Y X R p b 2 4 + P E l 0 Z W 1 U e X B l P k Z v c m 1 1 b G E 8 L 0 l 0 Z W 1 U e X B l P j x J d G V t U G F 0 a D 5 T Z W N 0 a W 9 u M S 9 L R E w v V 2 F h c m R l J T I w d m V y d m F u Z 2 V u M z I 8 L 0 l 0 Z W 1 Q Y X R o P j w v S X R l b U x v Y 2 F 0 a W 9 u P j x T d G F i b G V F b n R y a W V z I C 8 + P C 9 J d G V t P j x J d G V t P j x J d G V t T G 9 j Y X R p b 2 4 + P E l 0 Z W 1 U e X B l P k Z v c m 1 1 b G E 8 L 0 l 0 Z W 1 U e X B l P j x J d G V t U G F 0 a D 5 T Z W N 0 a W 9 u M S 9 L R E w v V 2 F h c m R l J T I w d m V y d m F u Z 2 V u M z M 8 L 0 l 0 Z W 1 Q Y X R o P j w v S X R l b U x v Y 2 F 0 a W 9 u P j x T d G F i b G V F b n R y a W V z I C 8 + P C 9 J d G V t P j x J d G V t P j x J d G V t T G 9 j Y X R p b 2 4 + P E l 0 Z W 1 U e X B l P k Z v c m 1 1 b G E 8 L 0 l 0 Z W 1 U e X B l P j x J d G V t U G F 0 a D 5 T Z W N 0 a W 9 u M S 9 L R E w v T m F t Z W 4 l M j B 2 Y W 4 l M j B r b 2 x v b W 1 l b i U y M G d l d 2 l q e m l n Z D E 2 P C 9 J d G V t U G F 0 a D 4 8 L 0 l 0 Z W 1 M b 2 N h d G l v b j 4 8 U 3 R h Y m x l R W 5 0 c m l l c y A v P j w v S X R l b T 4 8 S X R l b T 4 8 S X R l b U x v Y 2 F 0 a W 9 u P j x J d G V t V H l w Z T 5 G b 3 J t d W x h P C 9 J d G V t V H l w Z T 4 8 S X R l b V B h d G g + U 2 V j d G l v b j E v S 0 R M L 1 d h Y X J k Z S U y M H Z l c n Z h b m d l b j M 0 P C 9 J d G V t U G F 0 a D 4 8 L 0 l 0 Z W 1 M b 2 N h d G l v b j 4 8 U 3 R h Y m x l R W 5 0 c m l l c y A v P j w v S X R l b T 4 8 S X R l b T 4 8 S X R l b U x v Y 2 F 0 a W 9 u P j x J d G V t V H l w Z T 5 G b 3 J t d W x h P C 9 J d G V t V H l w Z T 4 8 S X R l b V B h d G g + U 2 V j d G l v b j E v S 0 R M L 1 d h Y X J k Z S U y M H Z l c n Z h b m d l b j M 1 P C 9 J d G V t U G F 0 a D 4 8 L 0 l 0 Z W 1 M b 2 N h d G l v b j 4 8 U 3 R h Y m x l R W 5 0 c m l l c y A v P j w v S X R l b T 4 8 S X R l b T 4 8 S X R l b U x v Y 2 F 0 a W 9 u P j x J d G V t V H l w Z T 5 G b 3 J t d W x h P C 9 J d G V t V H l w Z T 4 8 S X R l b V B h d G g + U 2 V j d G l v b j E v S 0 R M L 0 5 h b W V u J T I w d m F u J T I w a 2 9 s b 2 1 t Z W 4 l M j B n Z X d p a n p p Z 2 Q x N z w v S X R l b V B h d G g + P C 9 J d G V t T G 9 j Y X R p b 2 4 + P F N 0 Y W J s Z U V u d H J p Z X M g L z 4 8 L 0 l 0 Z W 0 + P E l 0 Z W 0 + P E l 0 Z W 1 M b 2 N h d G l v b j 4 8 S X R l b V R 5 c G U + R m 9 y b X V s Y T w v S X R l b V R 5 c G U + P E l 0 Z W 1 Q Y X R o P l N l Y 3 R p b 2 4 x L 0 t E T C 9 X Y W F y Z G U l M j B 2 Z X J 2 Y W 5 n Z W 4 z N j w v S X R l b V B h d G g + P C 9 J d G V t T G 9 j Y X R p b 2 4 + P F N 0 Y W J s Z U V u d H J p Z X M g L z 4 8 L 0 l 0 Z W 0 + P E l 0 Z W 0 + P E l 0 Z W 1 M b 2 N h d G l v b j 4 8 S X R l b V R 5 c G U + R m 9 y b X V s Y T w v S X R l b V R 5 c G U + P E l 0 Z W 1 Q Y X R o P l N l Y 3 R p b 2 4 x L 0 t E T C 9 X Y W F y Z G U l M j B 2 Z X J 2 Y W 5 n Z W 4 z N z w v S X R l b V B h d G g + P C 9 J d G V t T G 9 j Y X R p b 2 4 + P F N 0 Y W J s Z U V u d H J p Z X M g L z 4 8 L 0 l 0 Z W 0 + P E l 0 Z W 0 + P E l 0 Z W 1 M b 2 N h d G l v b j 4 8 S X R l b V R 5 c G U + R m 9 y b X V s Y T w v S X R l b V R 5 c G U + P E l 0 Z W 1 Q Y X R o P l N l Y 3 R p b 2 4 x L 0 t E T C 9 X Y W F y Z G U l M j B 2 Z X J 2 Y W 5 n Z W 4 z O D w v S X R l b V B h d G g + P C 9 J d G V t T G 9 j Y X R p b 2 4 + P F N 0 Y W J s Z U V u d H J p Z X M g L z 4 8 L 0 l 0 Z W 0 + P E l 0 Z W 0 + P E l 0 Z W 1 M b 2 N h d G l v b j 4 8 S X R l b V R 5 c G U + R m 9 y b X V s Y T w v S X R l b V R 5 c G U + P E l 0 Z W 1 Q Y X R o P l N l Y 3 R p b 2 4 x L 0 t E T C 9 O Y W 1 l b i U y M H Z h b i U y M G t v b G 9 t b W V u J T I w Z 2 V 3 a W p 6 a W d k M T g 8 L 0 l 0 Z W 1 Q Y X R o P j w v S X R l b U x v Y 2 F 0 a W 9 u P j x T d G F i b G V F b n R y a W V z I C 8 + P C 9 J d G V t P j x J d G V t P j x J d G V t T G 9 j Y X R p b 2 4 + P E l 0 Z W 1 U e X B l P k Z v c m 1 1 b G E 8 L 0 l 0 Z W 1 U e X B l P j x J d G V t U G F 0 a D 5 T Z W N 0 a W 9 u M S 9 L R E w v S 2 9 s b 2 1 t Z W 4 l M j B z Y W 1 l b m d l d m 9 l Z 2 Q 8 L 0 l 0 Z W 1 Q Y X R o P j w v S X R l b U x v Y 2 F 0 a W 9 u P j x T d G F i b G V F b n R y a W V z I C 8 + P C 9 J d G V t P j x J d G V t P j x J d G V t T G 9 j Y X R p b 2 4 + P E l 0 Z W 1 U e X B l P k Z v c m 1 1 b G E 8 L 0 l 0 Z W 1 U e X B l P j x J d G V t U G F 0 a D 5 T Z W N 0 a W 9 u M S 9 L R E w v S 2 9 s b 2 1 t Z W 4 l M j B z Y W 1 l b m d l d m 9 l Z 2 Q x P C 9 J d G V t U G F 0 a D 4 8 L 0 l 0 Z W 1 M b 2 N h d G l v b j 4 8 U 3 R h Y m x l R W 5 0 c m l l c y A v P j w v S X R l b T 4 8 S X R l b T 4 8 S X R l b U x v Y 2 F 0 a W 9 u P j x J d G V t V H l w Z T 5 G b 3 J t d W x h P C 9 J d G V t V H l w Z T 4 8 S X R l b V B h d G g + U 2 V j d G l v b j E v S 0 R M L 0 t v b G 9 t b W V u J T I w c 2 F t Z W 5 n Z X Z v Z W d k M j w v S X R l b V B h d G g + P C 9 J d G V t T G 9 j Y X R p b 2 4 + P F N 0 Y W J s Z U V u d H J p Z X M g L z 4 8 L 0 l 0 Z W 0 + P E l 0 Z W 0 + P E l 0 Z W 1 M b 2 N h d G l v b j 4 8 S X R l b V R 5 c G U + R m 9 y b X V s Y T w v S X R l b V R 5 c G U + P E l 0 Z W 1 Q Y X R o P l N l Y 3 R p b 2 4 x L 0 t E T C 9 X Y W F y Z G U l M j B 2 Z X J 2 Y W 5 n Z W 4 z O T w v S X R l b V B h d G g + P C 9 J d G V t T G 9 j Y X R p b 2 4 + P F N 0 Y W J s Z U V u d H J p Z X M g L z 4 8 L 0 l 0 Z W 0 + P E l 0 Z W 0 + P E l 0 Z W 1 M b 2 N h d G l v b j 4 8 S X R l b V R 5 c G U + R m 9 y b X V s Y T w v S X R l b V R 5 c G U + P E l 0 Z W 1 Q Y X R o P l N l Y 3 R p b 2 4 x L 0 t E T C 9 O Y W 1 l b i U y M H Z h b i U y M G t v b G 9 t b W V u J T I w Z 2 V 3 a W p 6 a W d k M T k 8 L 0 l 0 Z W 1 Q Y X R o P j w v S X R l b U x v Y 2 F 0 a W 9 u P j x T d G F i b G V F b n R y a W V z I C 8 + P C 9 J d G V t P j x J d G V t P j x J d G V t T G 9 j Y X R p b 2 4 + P E l 0 Z W 1 U e X B l P k Z v c m 1 1 b G E 8 L 0 l 0 Z W 1 U e X B l P j x J d G V t U G F 0 a D 5 T Z W N 0 a W 9 u M S 9 L R E w v V 2 F h c m R l J T I w d m V y d m F u Z 2 V u N D A 8 L 0 l 0 Z W 1 Q Y X R o P j w v S X R l b U x v Y 2 F 0 a W 9 u P j x T d G F i b G V F b n R y a W V z I C 8 + P C 9 J d G V t P j x J d G V t P j x J d G V t T G 9 j Y X R p b 2 4 + P E l 0 Z W 1 U e X B l P k Z v c m 1 1 b G E 8 L 0 l 0 Z W 1 U e X B l P j x J d G V t U G F 0 a D 5 T Z W N 0 a W 9 u M S 9 L R E w v U m l q Z W 4 l M j B n Z X N v c n R l Z X J k P C 9 J d G V t U G F 0 a D 4 8 L 0 l 0 Z W 1 M b 2 N h d G l v b j 4 8 U 3 R h Y m x l R W 5 0 c m l l c y A v P j w v S X R l b T 4 8 S X R l b T 4 8 S X R l b U x v Y 2 F 0 a W 9 u P j x J d G V t V H l w Z T 5 G b 3 J t d W x h P C 9 J d G V t V H l w Z T 4 8 S X R l b V B h d G g + U 2 V j d G l v b j E v S 0 R B L 0 J y b 2 4 8 L 0 l 0 Z W 1 Q Y X R o P j w v S X R l b U x v Y 2 F 0 a W 9 u P j x T d G F i b G V F b n R y a W V z I C 8 + P C 9 J d G V t P j x J d G V t P j x J d G V t T G 9 j Y X R p b 2 4 + P E l 0 Z W 1 U e X B l P k Z v c m 1 1 b G E 8 L 0 l 0 Z W 1 U e X B l P j x J d G V t U G F 0 a D 5 T Z W N 0 a W 9 u M S 9 L R E E v V H l w Z S U y M G d l d 2 l q e m l n Z D w v S X R l b V B h d G g + P C 9 J d G V t T G 9 j Y X R p b 2 4 + P F N 0 Y W J s Z U V u d H J p Z X M g L z 4 8 L 0 l 0 Z W 0 + P E l 0 Z W 0 + P E l 0 Z W 1 M b 2 N h d G l v b j 4 8 S X R l b V R 5 c G U + R m 9 y b X V s Y T w v S X R l b V R 5 c G U + P E l 0 Z W 1 Q Y X R o P l N l Y 3 R p b 2 4 x L 0 t E Q S 9 I Z W F k Z X J z J T I w b W V 0 J T I w d m V y a G 9 v Z 2 Q l M j B u a X Z l Y X U 8 L 0 l 0 Z W 1 Q Y X R o P j w v S X R l b U x v Y 2 F 0 a W 9 u P j x T d G F i b G V F b n R y a W V z I C 8 + P C 9 J d G V t P j x J d G V t P j x J d G V t T G 9 j Y X R p b 2 4 + P E l 0 Z W 1 U e X B l P k Z v c m 1 1 b G E 8 L 0 l 0 Z W 1 U e X B l P j x J d G V t U G F 0 a D 5 T Z W N 0 a W 9 u M S 9 L R E E v S 2 9 s b 2 1 t Z W 4 l M j B 2 Z X J 3 a W p k Z X J k P C 9 J d G V t U G F 0 a D 4 8 L 0 l 0 Z W 1 M b 2 N h d G l v b j 4 8 U 3 R h Y m x l R W 5 0 c m l l c y A v P j w v S X R l b T 4 8 S X R l b T 4 8 S X R l b U x v Y 2 F 0 a W 9 u P j x J d G V t V H l w Z T 5 G b 3 J t d W x h P C 9 J d G V t V H l w Z T 4 8 S X R l b V B h d G g + U 2 V j d G l v b j E v S 0 R B L 1 Z v b G d v c m R l J T I w d m F u J T I w a 2 9 s b 2 1 t Z W 4 l M j B n Z X d p a n p p Z 2 Q 8 L 0 l 0 Z W 1 Q Y X R o P j w v S X R l b U x v Y 2 F 0 a W 9 u P j x T d G F i b G V F b n R y a W V z I C 8 + P C 9 J d G V t P j x J d G V t P j x J d G V t T G 9 j Y X R p b 2 4 + P E l 0 Z W 1 U e X B l P k Z v c m 1 1 b G E 8 L 0 l 0 Z W 1 U e X B l P j x J d G V t U G F 0 a D 5 T Z W N 0 a W 9 u M S 9 L R E E v T m F t Z W 4 l M j B 2 Y W 4 l M j B r b 2 x v b W 1 l b i U y M G d l d 2 l q e m l n Z D w v S X R l b V B h d G g + P C 9 J d G V t T G 9 j Y X R p b 2 4 + P F N 0 Y W J s Z U V u d H J p Z X M g L z 4 8 L 0 l 0 Z W 0 + P E l 0 Z W 0 + P E l 0 Z W 1 M b 2 N h d G l v b j 4 8 S X R l b V R 5 c G U + R m 9 y b X V s Y T w v S X R l b V R 5 c G U + P E l 0 Z W 1 Q Y X R o P l N l Y 3 R p b 2 4 x L 0 t E Q S 9 X Y W F y Z G U l M j B 2 Z X J 2 Y W 5 n Z W 4 8 L 0 l 0 Z W 1 Q Y X R o P j w v S X R l b U x v Y 2 F 0 a W 9 u P j x T d G F i b G V F b n R y a W V z I C 8 + P C 9 J d G V t P j x J d G V t P j x J d G V t T G 9 j Y X R p b 2 4 + P E l 0 Z W 1 U e X B l P k Z v c m 1 1 b G E 8 L 0 l 0 Z W 1 U e X B l P j x J d G V t U G F 0 a D 5 T Z W N 0 a W 9 u M S 9 L R E E v V 2 F h c m R l J T I w d m V y d m F u Z 2 V u M T w v S X R l b V B h d G g + P C 9 J d G V t T G 9 j Y X R p b 2 4 + P F N 0 Y W J s Z U V u d H J p Z X M g L z 4 8 L 0 l 0 Z W 0 + P E l 0 Z W 0 + P E l 0 Z W 1 M b 2 N h d G l v b j 4 8 S X R l b V R 5 c G U + R m 9 y b X V s Y T w v S X R l b V R 5 c G U + P E l 0 Z W 1 Q Y X R o P l N l Y 3 R p b 2 4 x L 0 t E Q S 9 O Y W 1 l b i U y M H Z h b i U y M G t v b G 9 t b W V u J T I w Z 2 V 3 a W p 6 a W d k M T w v S X R l b V B h d G g + P C 9 J d G V t T G 9 j Y X R p b 2 4 + P F N 0 Y W J s Z U V u d H J p Z X M g L z 4 8 L 0 l 0 Z W 0 + P E l 0 Z W 0 + P E l 0 Z W 1 M b 2 N h d G l v b j 4 8 S X R l b V R 5 c G U + R m 9 y b X V s Y T w v S X R l b V R 5 c G U + P E l 0 Z W 1 Q Y X R o P l N l Y 3 R p b 2 4 x L 0 t E Q S 9 X Y W F y Z G U l M j B 2 Z X J 2 Y W 5 n Z W 4 y P C 9 J d G V t U G F 0 a D 4 8 L 0 l 0 Z W 1 M b 2 N h d G l v b j 4 8 U 3 R h Y m x l R W 5 0 c m l l c y A v P j w v S X R l b T 4 8 S X R l b T 4 8 S X R l b U x v Y 2 F 0 a W 9 u P j x J d G V t V H l w Z T 5 G b 3 J t d W x h P C 9 J d G V t V H l w Z T 4 8 S X R l b V B h d G g + U 2 V j d G l v b j E v S 0 R B L 1 d h Y X J k Z S U y M H Z l c n Z h b m d l b j M 8 L 0 l 0 Z W 1 Q Y X R o P j w v S X R l b U x v Y 2 F 0 a W 9 u P j x T d G F i b G V F b n R y a W V z I C 8 + P C 9 J d G V t P j x J d G V t P j x J d G V t T G 9 j Y X R p b 2 4 + P E l 0 Z W 1 U e X B l P k Z v c m 1 1 b G E 8 L 0 l 0 Z W 1 U e X B l P j x J d G V t U G F 0 a D 5 T Z W N 0 a W 9 u M S 9 L R E E v T m F t Z W 4 l M j B 2 Y W 4 l M j B r b 2 x v b W 1 l b i U y M G d l d 2 l q e m l n Z D I 8 L 0 l 0 Z W 1 Q Y X R o P j w v S X R l b U x v Y 2 F 0 a W 9 u P j x T d G F i b G V F b n R y a W V z I C 8 + P C 9 J d G V t P j x J d G V t P j x J d G V t T G 9 j Y X R p b 2 4 + P E l 0 Z W 1 U e X B l P k Z v c m 1 1 b G E 8 L 0 l 0 Z W 1 U e X B l P j x J d G V t U G F 0 a D 5 T Z W N 0 a W 9 u M S 9 L R E E v V 2 F h c m R l J T I w d m V y d m F u Z 2 V u N D w v S X R l b V B h d G g + P C 9 J d G V t T G 9 j Y X R p b 2 4 + P F N 0 Y W J s Z U V u d H J p Z X M g L z 4 8 L 0 l 0 Z W 0 + P E l 0 Z W 0 + P E l 0 Z W 1 M b 2 N h d G l v b j 4 8 S X R l b V R 5 c G U + R m 9 y b X V s Y T w v S X R l b V R 5 c G U + P E l 0 Z W 1 Q Y X R o P l N l Y 3 R p b 2 4 x L 0 t E Q S 9 X Y W F y Z G U l M j B 2 Z X J 2 Y W 5 n Z W 4 1 P C 9 J d G V t U G F 0 a D 4 8 L 0 l 0 Z W 1 M b 2 N h d G l v b j 4 8 U 3 R h Y m x l R W 5 0 c m l l c y A v P j w v S X R l b T 4 8 S X R l b T 4 8 S X R l b U x v Y 2 F 0 a W 9 u P j x J d G V t V H l w Z T 5 G b 3 J t d W x h P C 9 J d G V t V H l w Z T 4 8 S X R l b V B h d G g + U 2 V j d G l v b j E v S 0 R B L 0 t v b G 9 t J T I w c 3 B s a X R z Z W 4 l M j B v c C U y M H N j a G V p Z G l u Z 3 N 0 Z W t l b j w v S X R l b V B h d G g + P C 9 J d G V t T G 9 j Y X R p b 2 4 + P F N 0 Y W J s Z U V u d H J p Z X M g L z 4 8 L 0 l 0 Z W 0 + P E l 0 Z W 0 + P E l 0 Z W 1 M b 2 N h d G l v b j 4 8 S X R l b V R 5 c G U + R m 9 y b X V s Y T w v S X R l b V R 5 c G U + P E l 0 Z W 1 Q Y X R o P l N l Y 3 R p b 2 4 x L 0 t E Q S 9 O Y W 1 l b i U y M H Z h b i U y M G t v b G 9 t b W V u J T I w Z 2 V 3 a W p 6 a W d k M z w v S X R l b V B h d G g + P C 9 J d G V t T G 9 j Y X R p b 2 4 + P F N 0 Y W J s Z U V u d H J p Z X M g L z 4 8 L 0 l 0 Z W 0 + P E l 0 Z W 0 + P E l 0 Z W 1 M b 2 N h d G l v b j 4 8 S X R l b V R 5 c G U + R m 9 y b X V s Y T w v S X R l b V R 5 c G U + P E l 0 Z W 1 Q Y X R o P l N l Y 3 R p b 2 4 x L 0 t E Q S 9 X Y W F y Z G U l M j B 2 Z X J 2 Y W 5 n Z W 4 2 P C 9 J d G V t U G F 0 a D 4 8 L 0 l 0 Z W 1 M b 2 N h d G l v b j 4 8 U 3 R h Y m x l R W 5 0 c m l l c y A v P j w v S X R l b T 4 8 S X R l b T 4 8 S X R l b U x v Y 2 F 0 a W 9 u P j x J d G V t V H l w Z T 5 G b 3 J t d W x h P C 9 J d G V t V H l w Z T 4 8 S X R l b V B h d G g + U 2 V j d G l v b j E v S 0 R B L 0 5 h b W V u J T I w d m F u J T I w a 2 9 s b 2 1 t Z W 4 l M j B n Z X d p a n p p Z 2 Q 0 P C 9 J d G V t U G F 0 a D 4 8 L 0 l 0 Z W 1 M b 2 N h d G l v b j 4 8 U 3 R h Y m x l R W 5 0 c m l l c y A v P j w v S X R l b T 4 8 S X R l b T 4 8 S X R l b U x v Y 2 F 0 a W 9 u P j x J d G V t V H l w Z T 5 G b 3 J t d W x h P C 9 J d G V t V H l w Z T 4 8 S X R l b V B h d G g + U 2 V j d G l v b j E v S 0 R B L 1 d h Y X J k Z S U y M H Z l c n Z h b m d l b j c 8 L 0 l 0 Z W 1 Q Y X R o P j w v S X R l b U x v Y 2 F 0 a W 9 u P j x T d G F i b G V F b n R y a W V z I C 8 + P C 9 J d G V t P j x J d G V t P j x J d G V t T G 9 j Y X R p b 2 4 + P E l 0 Z W 1 U e X B l P k Z v c m 1 1 b G E 8 L 0 l 0 Z W 1 U e X B l P j x J d G V t U G F 0 a D 5 T Z W N 0 a W 9 u M S 9 L R E E v V 2 F h c m R l J T I w d m V y d m F u Z 2 V u O D w v S X R l b V B h d G g + P C 9 J d G V t T G 9 j Y X R p b 2 4 + P F N 0 Y W J s Z U V u d H J p Z X M g L z 4 8 L 0 l 0 Z W 0 + P E l 0 Z W 0 + P E l 0 Z W 1 M b 2 N h d G l v b j 4 8 S X R l b V R 5 c G U + R m 9 y b X V s Y T w v S X R l b V R 5 c G U + P E l 0 Z W 1 Q Y X R o P l N l Y 3 R p b 2 4 x L 0 t E Q S 9 X Y W F y Z G U l M j B 2 Z X J 2 Y W 5 n Z W 4 5 P C 9 J d G V t U G F 0 a D 4 8 L 0 l 0 Z W 1 M b 2 N h d G l v b j 4 8 U 3 R h Y m x l R W 5 0 c m l l c y A v P j w v S X R l b T 4 8 S X R l b T 4 8 S X R l b U x v Y 2 F 0 a W 9 u P j x J d G V t V H l w Z T 5 G b 3 J t d W x h P C 9 J d G V t V H l w Z T 4 8 S X R l b V B h d G g + U 2 V j d G l v b j E v S 0 R B L 0 5 h b W V u J T I w d m F u J T I w a 2 9 s b 2 1 t Z W 4 l M j B n Z X d p a n p p Z 2 Q 1 P C 9 J d G V t U G F 0 a D 4 8 L 0 l 0 Z W 1 M b 2 N h d G l v b j 4 8 U 3 R h Y m x l R W 5 0 c m l l c y A v P j w v S X R l b T 4 8 S X R l b T 4 8 S X R l b U x v Y 2 F 0 a W 9 u P j x J d G V t V H l w Z T 5 G b 3 J t d W x h P C 9 J d G V t V H l w Z T 4 8 S X R l b V B h d G g + U 2 V j d G l v b j E v S 0 R B L 1 d h Y X J k Z S U y M H Z l c n Z h b m d l b j I x P C 9 J d G V t U G F 0 a D 4 8 L 0 l 0 Z W 1 M b 2 N h d G l v b j 4 8 U 3 R h Y m x l R W 5 0 c m l l c y A v P j w v S X R l b T 4 8 S X R l b T 4 8 S X R l b U x v Y 2 F 0 a W 9 u P j x J d G V t V H l w Z T 5 G b 3 J t d W x h P C 9 J d G V t V H l w Z T 4 8 S X R l b V B h d G g + U 2 V j d G l v b j E v S 0 R B L 1 d h Y X J k Z S U y M H Z l c n Z h b m d l b j I y P C 9 J d G V t U G F 0 a D 4 8 L 0 l 0 Z W 1 M b 2 N h d G l v b j 4 8 U 3 R h Y m x l R W 5 0 c m l l c y A v P j w v S X R l b T 4 8 S X R l b T 4 8 S X R l b U x v Y 2 F 0 a W 9 u P j x J d G V t V H l w Z T 5 G b 3 J t d W x h P C 9 J d G V t V H l w Z T 4 8 S X R l b V B h d G g + U 2 V j d G l v b j E v S 0 R B L 1 d h Y X J k Z S U y M H Z l c n Z h b m d l b j I z P C 9 J d G V t U G F 0 a D 4 8 L 0 l 0 Z W 1 M b 2 N h d G l v b j 4 8 U 3 R h Y m x l R W 5 0 c m l l c y A v P j w v S X R l b T 4 8 S X R l b T 4 8 S X R l b U x v Y 2 F 0 a W 9 u P j x J d G V t V H l w Z T 5 G b 3 J t d W x h P C 9 J d G V t V H l w Z T 4 8 S X R l b V B h d G g + U 2 V j d G l v b j E v S 0 R B L 1 d h Y X J k Z S U y M H Z l c n Z h b m d l b j I 0 P C 9 J d G V t U G F 0 a D 4 8 L 0 l 0 Z W 1 M b 2 N h d G l v b j 4 8 U 3 R h Y m x l R W 5 0 c m l l c y A v P j w v S X R l b T 4 8 S X R l b T 4 8 S X R l b U x v Y 2 F 0 a W 9 u P j x J d G V t V H l w Z T 5 G b 3 J t d W x h P C 9 J d G V t V H l w Z T 4 8 S X R l b V B h d G g + U 2 V j d G l v b j E v S 0 R B L 1 d h Y X J k Z S U y M H Z l c n Z h b m d l b j I 1 P C 9 J d G V t U G F 0 a D 4 8 L 0 l 0 Z W 1 M b 2 N h d G l v b j 4 8 U 3 R h Y m x l R W 5 0 c m l l c y A v P j w v S X R l b T 4 8 S X R l b T 4 8 S X R l b U x v Y 2 F 0 a W 9 u P j x J d G V t V H l w Z T 5 G b 3 J t d W x h P C 9 J d G V t V H l w Z T 4 8 S X R l b V B h d G g + U 2 V j d G l v b j E v S 0 R B L 0 5 h b W V u J T I w d m F u J T I w a 2 9 s b 2 1 t Z W 4 l M j B n Z X d p a n p p Z 2 Q x M T w v S X R l b V B h d G g + P C 9 J d G V t T G 9 j Y X R p b 2 4 + P F N 0 Y W J s Z U V u d H J p Z X M g L z 4 8 L 0 l 0 Z W 0 + P E l 0 Z W 0 + P E l 0 Z W 1 M b 2 N h d G l v b j 4 8 S X R l b V R 5 c G U + R m 9 y b X V s Y T w v S X R l b V R 5 c G U + P E l 0 Z W 1 Q Y X R o P l N l Y 3 R p b 2 4 x L 0 t E Q S 9 X Y W F y Z G U l M j B 2 Z X J 2 Y W 5 n Z W 4 y N j w v S X R l b V B h d G g + P C 9 J d G V t T G 9 j Y X R p b 2 4 + P F N 0 Y W J s Z U V u d H J p Z X M g L z 4 8 L 0 l 0 Z W 0 + P E l 0 Z W 0 + P E l 0 Z W 1 M b 2 N h d G l v b j 4 8 S X R l b V R 5 c G U + R m 9 y b X V s Y T w v S X R l b V R 5 c G U + P E l 0 Z W 1 Q Y X R o P l N l Y 3 R p b 2 4 x L 0 t E Q S 9 X Y W F y Z G U l M j B 2 Z X J 2 Y W 5 n Z W 4 y N z w v S X R l b V B h d G g + P C 9 J d G V t T G 9 j Y X R p b 2 4 + P F N 0 Y W J s Z U V u d H J p Z X M g L z 4 8 L 0 l 0 Z W 0 + P E l 0 Z W 0 + P E l 0 Z W 1 M b 2 N h d G l v b j 4 8 S X R l b V R 5 c G U + R m 9 y b X V s Y T w v S X R l b V R 5 c G U + P E l 0 Z W 1 Q Y X R o P l N l Y 3 R p b 2 4 x L 0 t E Q S 9 O Y W 1 l b i U y M H Z h b i U y M G t v b G 9 t b W V u J T I w Z 2 V 3 a W p 6 a W d k M T I 8 L 0 l 0 Z W 1 Q Y X R o P j w v S X R l b U x v Y 2 F 0 a W 9 u P j x T d G F i b G V F b n R y a W V z I C 8 + P C 9 J d G V t P j x J d G V t P j x J d G V t T G 9 j Y X R p b 2 4 + P E l 0 Z W 1 U e X B l P k Z v c m 1 1 b G E 8 L 0 l 0 Z W 1 U e X B l P j x J d G V t U G F 0 a D 5 T Z W N 0 a W 9 u M S 9 L R E E v V 2 F h c m R l J T I w d m V y d m F u Z 2 V u M j g 8 L 0 l 0 Z W 1 Q Y X R o P j w v S X R l b U x v Y 2 F 0 a W 9 u P j x T d G F i b G V F b n R y a W V z I C 8 + P C 9 J d G V t P j x J d G V t P j x J d G V t T G 9 j Y X R p b 2 4 + P E l 0 Z W 1 U e X B l P k Z v c m 1 1 b G E 8 L 0 l 0 Z W 1 U e X B l P j x J d G V t U G F 0 a D 5 T Z W N 0 a W 9 u M S 9 L R E E v V 2 F h c m R l J T I w d m V y d m F u Z 2 V u M j k 8 L 0 l 0 Z W 1 Q Y X R o P j w v S X R l b U x v Y 2 F 0 a W 9 u P j x T d G F i b G V F b n R y a W V z I C 8 + P C 9 J d G V t P j x J d G V t P j x J d G V t T G 9 j Y X R p b 2 4 + P E l 0 Z W 1 U e X B l P k Z v c m 1 1 b G E 8 L 0 l 0 Z W 1 U e X B l P j x J d G V t U G F 0 a D 5 T Z W N 0 a W 9 u M S 9 L R E E v T m F t Z W 4 l M j B 2 Y W 4 l M j B r b 2 x v b W 1 l b i U y M G d l d 2 l q e m l n Z D E z P C 9 J d G V t U G F 0 a D 4 8 L 0 l 0 Z W 1 M b 2 N h d G l v b j 4 8 U 3 R h Y m x l R W 5 0 c m l l c y A v P j w v S X R l b T 4 8 S X R l b T 4 8 S X R l b U x v Y 2 F 0 a W 9 u P j x J d G V t V H l w Z T 5 G b 3 J t d W x h P C 9 J d G V t V H l w Z T 4 8 S X R l b V B h d G g + U 2 V j d G l v b j E v S 0 R B L 1 Z v b G d v c m R l J T I w d m F u J T I w a 2 9 s b 2 1 t Z W 4 l M j B n Z X d p a n p p Z 2 Q x P C 9 J d G V t U G F 0 a D 4 8 L 0 l 0 Z W 1 M b 2 N h d G l v b j 4 8 U 3 R h Y m x l R W 5 0 c m l l c y A v P j w v S X R l b T 4 8 S X R l b T 4 8 S X R l b U x v Y 2 F 0 a W 9 u P j x J d G V t V H l w Z T 5 G b 3 J t d W x h P C 9 J d G V t V H l w Z T 4 8 S X R l b V B h d G g + U 2 V j d G l v b j E v S 0 R B L 1 d h Y X J k Z S U y M H Z l c n Z h b m d l b j M w P C 9 J d G V t U G F 0 a D 4 8 L 0 l 0 Z W 1 M b 2 N h d G l v b j 4 8 U 3 R h Y m x l R W 5 0 c m l l c y A v P j w v S X R l b T 4 8 S X R l b T 4 8 S X R l b U x v Y 2 F 0 a W 9 u P j x J d G V t V H l w Z T 5 G b 3 J t d W x h P C 9 J d G V t V H l w Z T 4 8 S X R l b V B h d G g + U 2 V j d G l v b j E v S 0 R B L 1 d h Y X J k Z S U y M H Z l c n Z h b m d l b j M x P C 9 J d G V t U G F 0 a D 4 8 L 0 l 0 Z W 1 M b 2 N h d G l v b j 4 8 U 3 R h Y m x l R W 5 0 c m l l c y A v P j w v S X R l b T 4 8 S X R l b T 4 8 S X R l b U x v Y 2 F 0 a W 9 u P j x J d G V t V H l w Z T 5 G b 3 J t d W x h P C 9 J d G V t V H l w Z T 4 8 S X R l b V B h d G g + U 2 V j d G l v b j E v S 0 R B L 0 5 h b W V u J T I w d m F u J T I w a 2 9 s b 2 1 t Z W 4 l M j B n Z X d p a n p p Z 2 Q x N D w v S X R l b V B h d G g + P C 9 J d G V t T G 9 j Y X R p b 2 4 + P F N 0 Y W J s Z U V u d H J p Z X M g L z 4 8 L 0 l 0 Z W 0 + P E l 0 Z W 0 + P E l 0 Z W 1 M b 2 N h d G l v b j 4 8 S X R l b V R 5 c G U + R m 9 y b X V s Y T w v S X R l b V R 5 c G U + P E l 0 Z W 1 Q Y X R o P l N l Y 3 R p b 2 4 x L 0 t E Q S 9 W b 2 x n b 3 J k Z S U y M H Z h b i U y M G t v b G 9 t b W V u J T I w Z 2 V 3 a W p 6 a W d k M j w v S X R l b V B h d G g + P C 9 J d G V t T G 9 j Y X R p b 2 4 + P F N 0 Y W J s Z U V u d H J p Z X M g L z 4 8 L 0 l 0 Z W 0 + P E l 0 Z W 0 + P E l 0 Z W 1 M b 2 N h d G l v b j 4 8 S X R l b V R 5 c G U + R m 9 y b X V s Y T w v S X R l b V R 5 c G U + P E l 0 Z W 1 Q Y X R o P l N l Y 3 R p b 2 4 x L 0 t E Q S 9 O Y W 1 l b i U y M H Z h b i U y M G t v b G 9 t b W V u J T I w Z 2 V 3 a W p 6 a W d k M T U 8 L 0 l 0 Z W 1 Q Y X R o P j w v S X R l b U x v Y 2 F 0 a W 9 u P j x T d G F i b G V F b n R y a W V z I C 8 + P C 9 J d G V t P j x J d G V t P j x J d G V t T G 9 j Y X R p b 2 4 + P E l 0 Z W 1 U e X B l P k Z v c m 1 1 b G E 8 L 0 l 0 Z W 1 U e X B l P j x J d G V t U G F 0 a D 5 T Z W N 0 a W 9 u M S 9 L R E E v V 2 F h c m R l J T I w d m V y d m F u Z 2 V u M z I 8 L 0 l 0 Z W 1 Q Y X R o P j w v S X R l b U x v Y 2 F 0 a W 9 u P j x T d G F i b G V F b n R y a W V z I C 8 + P C 9 J d G V t P j x J d G V t P j x J d G V t T G 9 j Y X R p b 2 4 + P E l 0 Z W 1 U e X B l P k Z v c m 1 1 b G E 8 L 0 l 0 Z W 1 U e X B l P j x J d G V t U G F 0 a D 5 T Z W N 0 a W 9 u M S 9 L R E E v V 2 F h c m R l J T I w d m V y d m F u Z 2 V u M z M 8 L 0 l 0 Z W 1 Q Y X R o P j w v S X R l b U x v Y 2 F 0 a W 9 u P j x T d G F i b G V F b n R y a W V z I C 8 + P C 9 J d G V t P j x J d G V t P j x J d G V t T G 9 j Y X R p b 2 4 + P E l 0 Z W 1 U e X B l P k Z v c m 1 1 b G E 8 L 0 l 0 Z W 1 U e X B l P j x J d G V t U G F 0 a D 5 T Z W N 0 a W 9 u M S 9 L R E E v T m F t Z W 4 l M j B 2 Y W 4 l M j B r b 2 x v b W 1 l b i U y M G d l d 2 l q e m l n Z D E 2 P C 9 J d G V t U G F 0 a D 4 8 L 0 l 0 Z W 1 M b 2 N h d G l v b j 4 8 U 3 R h Y m x l R W 5 0 c m l l c y A v P j w v S X R l b T 4 8 S X R l b T 4 8 S X R l b U x v Y 2 F 0 a W 9 u P j x J d G V t V H l w Z T 5 G b 3 J t d W x h P C 9 J d G V t V H l w Z T 4 8 S X R l b V B h d G g + U 2 V j d G l v b j E v S 0 R B L 1 d h Y X J k Z S U y M H Z l c n Z h b m d l b j M 0 P C 9 J d G V t U G F 0 a D 4 8 L 0 l 0 Z W 1 M b 2 N h d G l v b j 4 8 U 3 R h Y m x l R W 5 0 c m l l c y A v P j w v S X R l b T 4 8 S X R l b T 4 8 S X R l b U x v Y 2 F 0 a W 9 u P j x J d G V t V H l w Z T 5 G b 3 J t d W x h P C 9 J d G V t V H l w Z T 4 8 S X R l b V B h d G g + U 2 V j d G l v b j E v S 0 R B L 1 d h Y X J k Z S U y M H Z l c n Z h b m d l b j M 1 P C 9 J d G V t U G F 0 a D 4 8 L 0 l 0 Z W 1 M b 2 N h d G l v b j 4 8 U 3 R h Y m x l R W 5 0 c m l l c y A v P j w v S X R l b T 4 8 S X R l b T 4 8 S X R l b U x v Y 2 F 0 a W 9 u P j x J d G V t V H l w Z T 5 G b 3 J t d W x h P C 9 J d G V t V H l w Z T 4 8 S X R l b V B h d G g + U 2 V j d G l v b j E v S 0 R B L 0 5 h b W V u J T I w d m F u J T I w a 2 9 s b 2 1 t Z W 4 l M j B n Z X d p a n p p Z 2 Q x N z w v S X R l b V B h d G g + P C 9 J d G V t T G 9 j Y X R p b 2 4 + P F N 0 Y W J s Z U V u d H J p Z X M g L z 4 8 L 0 l 0 Z W 0 + P E l 0 Z W 0 + P E l 0 Z W 1 M b 2 N h d G l v b j 4 8 S X R l b V R 5 c G U + R m 9 y b X V s Y T w v S X R l b V R 5 c G U + P E l 0 Z W 1 Q Y X R o P l N l Y 3 R p b 2 4 x L 0 t E Q S 9 X Y W F y Z G U l M j B 2 Z X J 2 Y W 5 n Z W 4 z N j w v S X R l b V B h d G g + P C 9 J d G V t T G 9 j Y X R p b 2 4 + P F N 0 Y W J s Z U V u d H J p Z X M g L z 4 8 L 0 l 0 Z W 0 + P E l 0 Z W 0 + P E l 0 Z W 1 M b 2 N h d G l v b j 4 8 S X R l b V R 5 c G U + R m 9 y b X V s Y T w v S X R l b V R 5 c G U + P E l 0 Z W 1 Q Y X R o P l N l Y 3 R p b 2 4 x L 0 t E Q S 9 X Y W F y Z G U l M j B 2 Z X J 2 Y W 5 n Z W 4 z N z w v S X R l b V B h d G g + P C 9 J d G V t T G 9 j Y X R p b 2 4 + P F N 0 Y W J s Z U V u d H J p Z X M g L z 4 8 L 0 l 0 Z W 0 + P E l 0 Z W 0 + P E l 0 Z W 1 M b 2 N h d G l v b j 4 8 S X R l b V R 5 c G U + R m 9 y b X V s Y T w v S X R l b V R 5 c G U + P E l 0 Z W 1 Q Y X R o P l N l Y 3 R p b 2 4 x L 0 t E Q S 9 X Y W F y Z G U l M j B 2 Z X J 2 Y W 5 n Z W 4 z O D w v S X R l b V B h d G g + P C 9 J d G V t T G 9 j Y X R p b 2 4 + P F N 0 Y W J s Z U V u d H J p Z X M g L z 4 8 L 0 l 0 Z W 0 + P E l 0 Z W 0 + P E l 0 Z W 1 M b 2 N h d G l v b j 4 8 S X R l b V R 5 c G U + R m 9 y b X V s Y T w v S X R l b V R 5 c G U + P E l 0 Z W 1 Q Y X R o P l N l Y 3 R p b 2 4 x L 0 t E Q S 9 L b 2 x v b W 1 l b i U y M H N h b W V u Z 2 V 2 b 2 V n Z D w v S X R l b V B h d G g + P C 9 J d G V t T G 9 j Y X R p b 2 4 + P F N 0 Y W J s Z U V u d H J p Z X M g L z 4 8 L 0 l 0 Z W 0 + P E l 0 Z W 0 + P E l 0 Z W 1 M b 2 N h d G l v b j 4 8 S X R l b V R 5 c G U + R m 9 y b X V s Y T w v S X R l b V R 5 c G U + P E l 0 Z W 1 Q Y X R o P l N l Y 3 R p b 2 4 x L 0 t E Q S 9 L b 2 x v b W 1 l b i U y M H N h b W V u Z 2 V 2 b 2 V n Z D E 8 L 0 l 0 Z W 1 Q Y X R o P j w v S X R l b U x v Y 2 F 0 a W 9 u P j x T d G F i b G V F b n R y a W V z I C 8 + P C 9 J d G V t P j x J d G V t P j x J d G V t T G 9 j Y X R p b 2 4 + P E l 0 Z W 1 U e X B l P k Z v c m 1 1 b G E 8 L 0 l 0 Z W 1 U e X B l P j x J d G V t U G F 0 a D 5 T Z W N 0 a W 9 u M S 9 L R E E v S 2 9 s b 2 1 t Z W 4 l M j B z Y W 1 l b m d l d m 9 l Z 2 Q y P C 9 J d G V t U G F 0 a D 4 8 L 0 l 0 Z W 1 M b 2 N h d G l v b j 4 8 U 3 R h Y m x l R W 5 0 c m l l c y A v P j w v S X R l b T 4 8 S X R l b T 4 8 S X R l b U x v Y 2 F 0 a W 9 u P j x J d G V t V H l w Z T 5 G b 3 J t d W x h P C 9 J d G V t V H l w Z T 4 8 S X R l b V B h d G g + U 2 V j d G l v b j E v S 0 R B L 1 d h Y X J k Z S U y M H Z l c n Z h b m d l b j M 5 P C 9 J d G V t U G F 0 a D 4 8 L 0 l 0 Z W 1 M b 2 N h d G l v b j 4 8 U 3 R h Y m x l R W 5 0 c m l l c y A v P j w v S X R l b T 4 8 S X R l b T 4 8 S X R l b U x v Y 2 F 0 a W 9 u P j x J d G V t V H l w Z T 5 G b 3 J t d W x h P C 9 J d G V t V H l w Z T 4 8 S X R l b V B h d G g + U 2 V j d G l v b j E v S 0 R B L 0 5 h b W V u J T I w d m F u J T I w a 2 9 s b 2 1 t Z W 4 l M j B n Z X d p a n p p Z 2 Q x O T w v S X R l b V B h d G g + P C 9 J d G V t T G 9 j Y X R p b 2 4 + P F N 0 Y W J s Z U V u d H J p Z X M g L z 4 8 L 0 l 0 Z W 0 + P E l 0 Z W 0 + P E l 0 Z W 1 M b 2 N h d G l v b j 4 8 S X R l b V R 5 c G U + R m 9 y b X V s Y T w v S X R l b V R 5 c G U + P E l 0 Z W 1 Q Y X R o P l N l Y 3 R p b 2 4 x L 0 t E Q S 9 X Y W F y Z G U l M j B 2 Z X J 2 Y W 5 n Z W 4 0 M D w v S X R l b V B h d G g + P C 9 J d G V t T G 9 j Y X R p b 2 4 + P F N 0 Y W J s Z U V u d H J p Z X M g L z 4 8 L 0 l 0 Z W 0 + P E l 0 Z W 0 + P E l 0 Z W 1 M b 2 N h d G l v b j 4 8 S X R l b V R 5 c G U + R m 9 y b X V s Y T w v S X R l b V R 5 c G U + P E l 0 Z W 1 Q Y X R o P l N l Y 3 R p b 2 4 x L 0 t E Q S 9 S a W p l b i U y M G d l c 2 9 y d G V l c m Q 8 L 0 l 0 Z W 1 Q Y X R o P j w v S X R l b U x v Y 2 F 0 a W 9 u P j x T d G F i b G V F b n R y a W V z I C 8 + P C 9 J d G V t P j x J d G V t P j x J d G V t T G 9 j Y X R p b 2 4 + P E l 0 Z W 1 U e X B l P k Z v c m 1 1 b G E 8 L 0 l 0 Z W 1 U e X B l P j x J d G V t U G F 0 a D 5 T Z W N 0 a W 9 u M S 9 L R F J 2 T k I v Q n J v b j w v S X R l b V B h d G g + P C 9 J d G V t T G 9 j Y X R p b 2 4 + P F N 0 Y W J s Z U V u d H J p Z X M g L z 4 8 L 0 l 0 Z W 0 + P E l 0 Z W 0 + P E l 0 Z W 1 M b 2 N h d G l v b j 4 8 S X R l b V R 5 c G U + R m 9 y b X V s Y T w v S X R l b V R 5 c G U + P E l 0 Z W 1 Q Y X R o P l N l Y 3 R p b 2 4 x L 0 t E U n Z O Q i 9 U e X B l J T I w Z 2 V 3 a W p 6 a W d k P C 9 J d G V t U G F 0 a D 4 8 L 0 l 0 Z W 1 M b 2 N h d G l v b j 4 8 U 3 R h Y m x l R W 5 0 c m l l c y A v P j w v S X R l b T 4 8 S X R l b T 4 8 S X R l b U x v Y 2 F 0 a W 9 u P j x J d G V t V H l w Z T 5 G b 3 J t d W x h P C 9 J d G V t V H l w Z T 4 8 S X R l b V B h d G g + U 2 V j d G l v b j E v S 0 R S d k 5 C L 0 h l Y W R l c n M l M j B t Z X Q l M j B 2 Z X J o b 2 9 n Z C U y M G 5 p d m V h d T w v S X R l b V B h d G g + P C 9 J d G V t T G 9 j Y X R p b 2 4 + P F N 0 Y W J s Z U V u d H J p Z X M g L z 4 8 L 0 l 0 Z W 0 + P E l 0 Z W 0 + P E l 0 Z W 1 M b 2 N h d G l v b j 4 8 S X R l b V R 5 c G U + R m 9 y b X V s Y T w v S X R l b V R 5 c G U + P E l 0 Z W 1 Q Y X R o P l N l Y 3 R p b 2 4 x L 0 t E U n Z O Q i 9 L b 2 x v b W 1 l b i U y M H Z l c n d p a m R l c m Q 8 L 0 l 0 Z W 1 Q Y X R o P j w v S X R l b U x v Y 2 F 0 a W 9 u P j x T d G F i b G V F b n R y a W V z I C 8 + P C 9 J d G V t P j x J d G V t P j x J d G V t T G 9 j Y X R p b 2 4 + P E l 0 Z W 1 U e X B l P k Z v c m 1 1 b G E 8 L 0 l 0 Z W 1 U e X B l P j x J d G V t U G F 0 a D 5 T Z W N 0 a W 9 u M S 9 L R F J 2 T k I v V m 9 s Z 2 9 y Z G U l M j B 2 Y W 4 l M j B r b 2 x v b W 1 l b i U y M G d l d 2 l q e m l n Z D w v S X R l b V B h d G g + P C 9 J d G V t T G 9 j Y X R p b 2 4 + P F N 0 Y W J s Z U V u d H J p Z X M g L z 4 8 L 0 l 0 Z W 0 + P E l 0 Z W 0 + P E l 0 Z W 1 M b 2 N h d G l v b j 4 8 S X R l b V R 5 c G U + R m 9 y b X V s Y T w v S X R l b V R 5 c G U + P E l 0 Z W 1 Q Y X R o P l N l Y 3 R p b 2 4 x L 0 t E U n Z O Q i 9 O Y W 1 l b i U y M H Z h b i U y M G t v b G 9 t b W V u J T I w Z 2 V 3 a W p 6 a W d k P C 9 J d G V t U G F 0 a D 4 8 L 0 l 0 Z W 1 M b 2 N h d G l v b j 4 8 U 3 R h Y m x l R W 5 0 c m l l c y A v P j w v S X R l b T 4 8 S X R l b T 4 8 S X R l b U x v Y 2 F 0 a W 9 u P j x J d G V t V H l w Z T 5 G b 3 J t d W x h P C 9 J d G V t V H l w Z T 4 8 S X R l b V B h d G g + U 2 V j d G l v b j E v S 0 R S d k 5 C L 1 d h Y X J k Z S U y M H Z l c n Z h b m d l b j w v S X R l b V B h d G g + P C 9 J d G V t T G 9 j Y X R p b 2 4 + P F N 0 Y W J s Z U V u d H J p Z X M g L z 4 8 L 0 l 0 Z W 0 + P E l 0 Z W 0 + P E l 0 Z W 1 M b 2 N h d G l v b j 4 8 S X R l b V R 5 c G U + R m 9 y b X V s Y T w v S X R l b V R 5 c G U + P E l 0 Z W 1 Q Y X R o P l N l Y 3 R p b 2 4 x L 0 t E U n Z O Q i 9 X Y W F y Z G U l M j B 2 Z X J 2 Y W 5 n Z W 4 x P C 9 J d G V t U G F 0 a D 4 8 L 0 l 0 Z W 1 M b 2 N h d G l v b j 4 8 U 3 R h Y m x l R W 5 0 c m l l c y A v P j w v S X R l b T 4 8 S X R l b T 4 8 S X R l b U x v Y 2 F 0 a W 9 u P j x J d G V t V H l w Z T 5 G b 3 J t d W x h P C 9 J d G V t V H l w Z T 4 8 S X R l b V B h d G g + U 2 V j d G l v b j E v S 0 R S d k 5 C L 0 5 h b W V u J T I w d m F u J T I w a 2 9 s b 2 1 t Z W 4 l M j B n Z X d p a n p p Z 2 Q x P C 9 J d G V t U G F 0 a D 4 8 L 0 l 0 Z W 1 M b 2 N h d G l v b j 4 8 U 3 R h Y m x l R W 5 0 c m l l c y A v P j w v S X R l b T 4 8 S X R l b T 4 8 S X R l b U x v Y 2 F 0 a W 9 u P j x J d G V t V H l w Z T 5 G b 3 J t d W x h P C 9 J d G V t V H l w Z T 4 8 S X R l b V B h d G g + U 2 V j d G l v b j E v S 0 R S d k 5 C L 1 d h Y X J k Z S U y M H Z l c n Z h b m d l b j I 8 L 0 l 0 Z W 1 Q Y X R o P j w v S X R l b U x v Y 2 F 0 a W 9 u P j x T d G F i b G V F b n R y a W V z I C 8 + P C 9 J d G V t P j x J d G V t P j x J d G V t T G 9 j Y X R p b 2 4 + P E l 0 Z W 1 U e X B l P k Z v c m 1 1 b G E 8 L 0 l 0 Z W 1 U e X B l P j x J d G V t U G F 0 a D 5 T Z W N 0 a W 9 u M S 9 L R F J 2 T k I v V 2 F h c m R l J T I w d m V y d m F u Z 2 V u M z w v S X R l b V B h d G g + P C 9 J d G V t T G 9 j Y X R p b 2 4 + P F N 0 Y W J s Z U V u d H J p Z X M g L z 4 8 L 0 l 0 Z W 0 + P E l 0 Z W 0 + P E l 0 Z W 1 M b 2 N h d G l v b j 4 8 S X R l b V R 5 c G U + R m 9 y b X V s Y T w v S X R l b V R 5 c G U + P E l 0 Z W 1 Q Y X R o P l N l Y 3 R p b 2 4 x L 0 t E U n Z O Q i 9 O Y W 1 l b i U y M H Z h b i U y M G t v b G 9 t b W V u J T I w Z 2 V 3 a W p 6 a W d k M j w v S X R l b V B h d G g + P C 9 J d G V t T G 9 j Y X R p b 2 4 + P F N 0 Y W J s Z U V u d H J p Z X M g L z 4 8 L 0 l 0 Z W 0 + P E l 0 Z W 0 + P E l 0 Z W 1 M b 2 N h d G l v b j 4 8 S X R l b V R 5 c G U + R m 9 y b X V s Y T w v S X R l b V R 5 c G U + P E l 0 Z W 1 Q Y X R o P l N l Y 3 R p b 2 4 x L 0 t E U n Z O Q i 9 X Y W F y Z G U l M j B 2 Z X J 2 Y W 5 n Z W 4 0 P C 9 J d G V t U G F 0 a D 4 8 L 0 l 0 Z W 1 M b 2 N h d G l v b j 4 8 U 3 R h Y m x l R W 5 0 c m l l c y A v P j w v S X R l b T 4 8 S X R l b T 4 8 S X R l b U x v Y 2 F 0 a W 9 u P j x J d G V t V H l w Z T 5 G b 3 J t d W x h P C 9 J d G V t V H l w Z T 4 8 S X R l b V B h d G g + U 2 V j d G l v b j E v S 0 R S d k 5 C L 1 d h Y X J k Z S U y M H Z l c n Z h b m d l b j U 8 L 0 l 0 Z W 1 Q Y X R o P j w v S X R l b U x v Y 2 F 0 a W 9 u P j x T d G F i b G V F b n R y a W V z I C 8 + P C 9 J d G V t P j x J d G V t P j x J d G V t T G 9 j Y X R p b 2 4 + P E l 0 Z W 1 U e X B l P k Z v c m 1 1 b G E 8 L 0 l 0 Z W 1 U e X B l P j x J d G V t U G F 0 a D 5 T Z W N 0 a W 9 u M S 9 L R F J 2 T k I v S 2 9 s b 2 0 l M j B z c G x p d H N l b i U y M G 9 w J T I w c 2 N o Z W l k a W 5 n c 3 R l a 2 V u P C 9 J d G V t U G F 0 a D 4 8 L 0 l 0 Z W 1 M b 2 N h d G l v b j 4 8 U 3 R h Y m x l R W 5 0 c m l l c y A v P j w v S X R l b T 4 8 S X R l b T 4 8 S X R l b U x v Y 2 F 0 a W 9 u P j x J d G V t V H l w Z T 5 G b 3 J t d W x h P C 9 J d G V t V H l w Z T 4 8 S X R l b V B h d G g + U 2 V j d G l v b j E v S 0 R S d k 5 C L 0 5 h b W V u J T I w d m F u J T I w a 2 9 s b 2 1 t Z W 4 l M j B n Z X d p a n p p Z 2 Q z P C 9 J d G V t U G F 0 a D 4 8 L 0 l 0 Z W 1 M b 2 N h d G l v b j 4 8 U 3 R h Y m x l R W 5 0 c m l l c y A v P j w v S X R l b T 4 8 S X R l b T 4 8 S X R l b U x v Y 2 F 0 a W 9 u P j x J d G V t V H l w Z T 5 G b 3 J t d W x h P C 9 J d G V t V H l w Z T 4 8 S X R l b V B h d G g + U 2 V j d G l v b j E v S 0 R S d k 5 C L 1 d h Y X J k Z S U y M H Z l c n Z h b m d l b j Y 8 L 0 l 0 Z W 1 Q Y X R o P j w v S X R l b U x v Y 2 F 0 a W 9 u P j x T d G F i b G V F b n R y a W V z I C 8 + P C 9 J d G V t P j x J d G V t P j x J d G V t T G 9 j Y X R p b 2 4 + P E l 0 Z W 1 U e X B l P k Z v c m 1 1 b G E 8 L 0 l 0 Z W 1 U e X B l P j x J d G V t U G F 0 a D 5 T Z W N 0 a W 9 u M S 9 L R F J 2 T k I v T m F t Z W 4 l M j B 2 Y W 4 l M j B r b 2 x v b W 1 l b i U y M G d l d 2 l q e m l n Z D Q 8 L 0 l 0 Z W 1 Q Y X R o P j w v S X R l b U x v Y 2 F 0 a W 9 u P j x T d G F i b G V F b n R y a W V z I C 8 + P C 9 J d G V t P j x J d G V t P j x J d G V t T G 9 j Y X R p b 2 4 + P E l 0 Z W 1 U e X B l P k Z v c m 1 1 b G E 8 L 0 l 0 Z W 1 U e X B l P j x J d G V t U G F 0 a D 5 T Z W N 0 a W 9 u M S 9 L R F J 2 T k I v V 2 F h c m R l J T I w d m V y d m F u Z 2 V u N z w v S X R l b V B h d G g + P C 9 J d G V t T G 9 j Y X R p b 2 4 + P F N 0 Y W J s Z U V u d H J p Z X M g L z 4 8 L 0 l 0 Z W 0 + P E l 0 Z W 0 + P E l 0 Z W 1 M b 2 N h d G l v b j 4 8 S X R l b V R 5 c G U + R m 9 y b X V s Y T w v S X R l b V R 5 c G U + P E l 0 Z W 1 Q Y X R o P l N l Y 3 R p b 2 4 x L 0 t E U n Z O Q i 9 X Y W F y Z G U l M j B 2 Z X J 2 Y W 5 n Z W 4 4 P C 9 J d G V t U G F 0 a D 4 8 L 0 l 0 Z W 1 M b 2 N h d G l v b j 4 8 U 3 R h Y m x l R W 5 0 c m l l c y A v P j w v S X R l b T 4 8 S X R l b T 4 8 S X R l b U x v Y 2 F 0 a W 9 u P j x J d G V t V H l w Z T 5 G b 3 J t d W x h P C 9 J d G V t V H l w Z T 4 8 S X R l b V B h d G g + U 2 V j d G l v b j E v S 0 R S d k 5 C L 1 d h Y X J k Z S U y M H Z l c n Z h b m d l b j k 8 L 0 l 0 Z W 1 Q Y X R o P j w v S X R l b U x v Y 2 F 0 a W 9 u P j x T d G F i b G V F b n R y a W V z I C 8 + P C 9 J d G V t P j x J d G V t P j x J d G V t T G 9 j Y X R p b 2 4 + P E l 0 Z W 1 U e X B l P k Z v c m 1 1 b G E 8 L 0 l 0 Z W 1 U e X B l P j x J d G V t U G F 0 a D 5 T Z W N 0 a W 9 u M S 9 L R F J 2 T k I v T m F t Z W 4 l M j B 2 Y W 4 l M j B r b 2 x v b W 1 l b i U y M G d l d 2 l q e m l n Z D U 8 L 0 l 0 Z W 1 Q Y X R o P j w v S X R l b U x v Y 2 F 0 a W 9 u P j x T d G F i b G V F b n R y a W V z I C 8 + P C 9 J d G V t P j x J d G V t P j x J d G V t T G 9 j Y X R p b 2 4 + P E l 0 Z W 1 U e X B l P k Z v c m 1 1 b G E 8 L 0 l 0 Z W 1 U e X B l P j x J d G V t U G F 0 a D 5 T Z W N 0 a W 9 u M S 9 L R F J 2 T k I v V 2 F h c m R l J T I w d m V y d m F u Z 2 V u M j E 8 L 0 l 0 Z W 1 Q Y X R o P j w v S X R l b U x v Y 2 F 0 a W 9 u P j x T d G F i b G V F b n R y a W V z I C 8 + P C 9 J d G V t P j x J d G V t P j x J d G V t T G 9 j Y X R p b 2 4 + P E l 0 Z W 1 U e X B l P k Z v c m 1 1 b G E 8 L 0 l 0 Z W 1 U e X B l P j x J d G V t U G F 0 a D 5 T Z W N 0 a W 9 u M S 9 L R F J 2 T k I v V 2 F h c m R l J T I w d m V y d m F u Z 2 V u M j I 8 L 0 l 0 Z W 1 Q Y X R o P j w v S X R l b U x v Y 2 F 0 a W 9 u P j x T d G F i b G V F b n R y a W V z I C 8 + P C 9 J d G V t P j x J d G V t P j x J d G V t T G 9 j Y X R p b 2 4 + P E l 0 Z W 1 U e X B l P k Z v c m 1 1 b G E 8 L 0 l 0 Z W 1 U e X B l P j x J d G V t U G F 0 a D 5 T Z W N 0 a W 9 u M S 9 L R F J 2 T k I v V 2 F h c m R l J T I w d m V y d m F u Z 2 V u M j M 8 L 0 l 0 Z W 1 Q Y X R o P j w v S X R l b U x v Y 2 F 0 a W 9 u P j x T d G F i b G V F b n R y a W V z I C 8 + P C 9 J d G V t P j x J d G V t P j x J d G V t T G 9 j Y X R p b 2 4 + P E l 0 Z W 1 U e X B l P k Z v c m 1 1 b G E 8 L 0 l 0 Z W 1 U e X B l P j x J d G V t U G F 0 a D 5 T Z W N 0 a W 9 u M S 9 L R F J 2 T k I v V 2 F h c m R l J T I w d m V y d m F u Z 2 V u M j Q 8 L 0 l 0 Z W 1 Q Y X R o P j w v S X R l b U x v Y 2 F 0 a W 9 u P j x T d G F i b G V F b n R y a W V z I C 8 + P C 9 J d G V t P j x J d G V t P j x J d G V t T G 9 j Y X R p b 2 4 + P E l 0 Z W 1 U e X B l P k Z v c m 1 1 b G E 8 L 0 l 0 Z W 1 U e X B l P j x J d G V t U G F 0 a D 5 T Z W N 0 a W 9 u M S 9 L R F J 2 T k I v V 2 F h c m R l J T I w d m V y d m F u Z 2 V u M j U 8 L 0 l 0 Z W 1 Q Y X R o P j w v S X R l b U x v Y 2 F 0 a W 9 u P j x T d G F i b G V F b n R y a W V z I C 8 + P C 9 J d G V t P j x J d G V t P j x J d G V t T G 9 j Y X R p b 2 4 + P E l 0 Z W 1 U e X B l P k Z v c m 1 1 b G E 8 L 0 l 0 Z W 1 U e X B l P j x J d G V t U G F 0 a D 5 T Z W N 0 a W 9 u M S 9 L R F J 2 T k I v T m F t Z W 4 l M j B 2 Y W 4 l M j B r b 2 x v b W 1 l b i U y M G d l d 2 l q e m l n Z D E x P C 9 J d G V t U G F 0 a D 4 8 L 0 l 0 Z W 1 M b 2 N h d G l v b j 4 8 U 3 R h Y m x l R W 5 0 c m l l c y A v P j w v S X R l b T 4 8 S X R l b T 4 8 S X R l b U x v Y 2 F 0 a W 9 u P j x J d G V t V H l w Z T 5 G b 3 J t d W x h P C 9 J d G V t V H l w Z T 4 8 S X R l b V B h d G g + U 2 V j d G l v b j E v S 0 R S d k 5 C L 1 d h Y X J k Z S U y M H Z l c n Z h b m d l b j I 2 P C 9 J d G V t U G F 0 a D 4 8 L 0 l 0 Z W 1 M b 2 N h d G l v b j 4 8 U 3 R h Y m x l R W 5 0 c m l l c y A v P j w v S X R l b T 4 8 S X R l b T 4 8 S X R l b U x v Y 2 F 0 a W 9 u P j x J d G V t V H l w Z T 5 G b 3 J t d W x h P C 9 J d G V t V H l w Z T 4 8 S X R l b V B h d G g + U 2 V j d G l v b j E v S 0 R S d k 5 C L 1 d h Y X J k Z S U y M H Z l c n Z h b m d l b j I 3 P C 9 J d G V t U G F 0 a D 4 8 L 0 l 0 Z W 1 M b 2 N h d G l v b j 4 8 U 3 R h Y m x l R W 5 0 c m l l c y A v P j w v S X R l b T 4 8 S X R l b T 4 8 S X R l b U x v Y 2 F 0 a W 9 u P j x J d G V t V H l w Z T 5 G b 3 J t d W x h P C 9 J d G V t V H l w Z T 4 8 S X R l b V B h d G g + U 2 V j d G l v b j E v S 0 R S d k 5 C L 0 5 h b W V u J T I w d m F u J T I w a 2 9 s b 2 1 t Z W 4 l M j B n Z X d p a n p p Z 2 Q x M j w v S X R l b V B h d G g + P C 9 J d G V t T G 9 j Y X R p b 2 4 + P F N 0 Y W J s Z U V u d H J p Z X M g L z 4 8 L 0 l 0 Z W 0 + P E l 0 Z W 0 + P E l 0 Z W 1 M b 2 N h d G l v b j 4 8 S X R l b V R 5 c G U + R m 9 y b X V s Y T w v S X R l b V R 5 c G U + P E l 0 Z W 1 Q Y X R o P l N l Y 3 R p b 2 4 x L 0 t E U n Z O Q i 9 X Y W F y Z G U l M j B 2 Z X J 2 Y W 5 n Z W 4 y O D w v S X R l b V B h d G g + P C 9 J d G V t T G 9 j Y X R p b 2 4 + P F N 0 Y W J s Z U V u d H J p Z X M g L z 4 8 L 0 l 0 Z W 0 + P E l 0 Z W 0 + P E l 0 Z W 1 M b 2 N h d G l v b j 4 8 S X R l b V R 5 c G U + R m 9 y b X V s Y T w v S X R l b V R 5 c G U + P E l 0 Z W 1 Q Y X R o P l N l Y 3 R p b 2 4 x L 0 t E U n Z O Q i 9 X Y W F y Z G U l M j B 2 Z X J 2 Y W 5 n Z W 4 y O T w v S X R l b V B h d G g + P C 9 J d G V t T G 9 j Y X R p b 2 4 + P F N 0 Y W J s Z U V u d H J p Z X M g L z 4 8 L 0 l 0 Z W 0 + P E l 0 Z W 0 + P E l 0 Z W 1 M b 2 N h d G l v b j 4 8 S X R l b V R 5 c G U + R m 9 y b X V s Y T w v S X R l b V R 5 c G U + P E l 0 Z W 1 Q Y X R o P l N l Y 3 R p b 2 4 x L 0 t E U n Z O Q i 9 O Y W 1 l b i U y M H Z h b i U y M G t v b G 9 t b W V u J T I w Z 2 V 3 a W p 6 a W d k M T M 8 L 0 l 0 Z W 1 Q Y X R o P j w v S X R l b U x v Y 2 F 0 a W 9 u P j x T d G F i b G V F b n R y a W V z I C 8 + P C 9 J d G V t P j x J d G V t P j x J d G V t T G 9 j Y X R p b 2 4 + P E l 0 Z W 1 U e X B l P k Z v c m 1 1 b G E 8 L 0 l 0 Z W 1 U e X B l P j x J d G V t U G F 0 a D 5 T Z W N 0 a W 9 u M S 9 L R F J 2 T k I v V m 9 s Z 2 9 y Z G U l M j B 2 Y W 4 l M j B r b 2 x v b W 1 l b i U y M G d l d 2 l q e m l n Z D E 8 L 0 l 0 Z W 1 Q Y X R o P j w v S X R l b U x v Y 2 F 0 a W 9 u P j x T d G F i b G V F b n R y a W V z I C 8 + P C 9 J d G V t P j x J d G V t P j x J d G V t T G 9 j Y X R p b 2 4 + P E l 0 Z W 1 U e X B l P k Z v c m 1 1 b G E 8 L 0 l 0 Z W 1 U e X B l P j x J d G V t U G F 0 a D 5 T Z W N 0 a W 9 u M S 9 L R F J 2 T k I v V 2 F h c m R l J T I w d m V y d m F u Z 2 V u M z A 8 L 0 l 0 Z W 1 Q Y X R o P j w v S X R l b U x v Y 2 F 0 a W 9 u P j x T d G F i b G V F b n R y a W V z I C 8 + P C 9 J d G V t P j x J d G V t P j x J d G V t T G 9 j Y X R p b 2 4 + P E l 0 Z W 1 U e X B l P k Z v c m 1 1 b G E 8 L 0 l 0 Z W 1 U e X B l P j x J d G V t U G F 0 a D 5 T Z W N 0 a W 9 u M S 9 L R F J 2 T k I v V 2 F h c m R l J T I w d m V y d m F u Z 2 V u M z E 8 L 0 l 0 Z W 1 Q Y X R o P j w v S X R l b U x v Y 2 F 0 a W 9 u P j x T d G F i b G V F b n R y a W V z I C 8 + P C 9 J d G V t P j x J d G V t P j x J d G V t T G 9 j Y X R p b 2 4 + P E l 0 Z W 1 U e X B l P k Z v c m 1 1 b G E 8 L 0 l 0 Z W 1 U e X B l P j x J d G V t U G F 0 a D 5 T Z W N 0 a W 9 u M S 9 L R F J 2 T k I v T m F t Z W 4 l M j B 2 Y W 4 l M j B r b 2 x v b W 1 l b i U y M G d l d 2 l q e m l n Z D E 0 P C 9 J d G V t U G F 0 a D 4 8 L 0 l 0 Z W 1 M b 2 N h d G l v b j 4 8 U 3 R h Y m x l R W 5 0 c m l l c y A v P j w v S X R l b T 4 8 S X R l b T 4 8 S X R l b U x v Y 2 F 0 a W 9 u P j x J d G V t V H l w Z T 5 G b 3 J t d W x h P C 9 J d G V t V H l w Z T 4 8 S X R l b V B h d G g + U 2 V j d G l v b j E v S 0 R S d k 5 C L 1 Z v b G d v c m R l J T I w d m F u J T I w a 2 9 s b 2 1 t Z W 4 l M j B n Z X d p a n p p Z 2 Q y P C 9 J d G V t U G F 0 a D 4 8 L 0 l 0 Z W 1 M b 2 N h d G l v b j 4 8 U 3 R h Y m x l R W 5 0 c m l l c y A v P j w v S X R l b T 4 8 S X R l b T 4 8 S X R l b U x v Y 2 F 0 a W 9 u P j x J d G V t V H l w Z T 5 G b 3 J t d W x h P C 9 J d G V t V H l w Z T 4 8 S X R l b V B h d G g + U 2 V j d G l v b j E v S 0 R S d k 5 C L 0 5 h b W V u J T I w d m F u J T I w a 2 9 s b 2 1 t Z W 4 l M j B n Z X d p a n p p Z 2 Q x N T w v S X R l b V B h d G g + P C 9 J d G V t T G 9 j Y X R p b 2 4 + P F N 0 Y W J s Z U V u d H J p Z X M g L z 4 8 L 0 l 0 Z W 0 + P E l 0 Z W 0 + P E l 0 Z W 1 M b 2 N h d G l v b j 4 8 S X R l b V R 5 c G U + R m 9 y b X V s Y T w v S X R l b V R 5 c G U + P E l 0 Z W 1 Q Y X R o P l N l Y 3 R p b 2 4 x L 0 t E U n Z O Q i 9 X Y W F y Z G U l M j B 2 Z X J 2 Y W 5 n Z W 4 z M j w v S X R l b V B h d G g + P C 9 J d G V t T G 9 j Y X R p b 2 4 + P F N 0 Y W J s Z U V u d H J p Z X M g L z 4 8 L 0 l 0 Z W 0 + P E l 0 Z W 0 + P E l 0 Z W 1 M b 2 N h d G l v b j 4 8 S X R l b V R 5 c G U + R m 9 y b X V s Y T w v S X R l b V R 5 c G U + P E l 0 Z W 1 Q Y X R o P l N l Y 3 R p b 2 4 x L 0 t E U n Z O Q i 9 X Y W F y Z G U l M j B 2 Z X J 2 Y W 5 n Z W 4 z M z w v S X R l b V B h d G g + P C 9 J d G V t T G 9 j Y X R p b 2 4 + P F N 0 Y W J s Z U V u d H J p Z X M g L z 4 8 L 0 l 0 Z W 0 + P E l 0 Z W 0 + P E l 0 Z W 1 M b 2 N h d G l v b j 4 8 S X R l b V R 5 c G U + R m 9 y b X V s Y T w v S X R l b V R 5 c G U + P E l 0 Z W 1 Q Y X R o P l N l Y 3 R p b 2 4 x L 0 t E U n Z O Q i 9 O Y W 1 l b i U y M H Z h b i U y M G t v b G 9 t b W V u J T I w Z 2 V 3 a W p 6 a W d k M T Y 8 L 0 l 0 Z W 1 Q Y X R o P j w v S X R l b U x v Y 2 F 0 a W 9 u P j x T d G F i b G V F b n R y a W V z I C 8 + P C 9 J d G V t P j x J d G V t P j x J d G V t T G 9 j Y X R p b 2 4 + P E l 0 Z W 1 U e X B l P k Z v c m 1 1 b G E 8 L 0 l 0 Z W 1 U e X B l P j x J d G V t U G F 0 a D 5 T Z W N 0 a W 9 u M S 9 L R F J 2 T k I v V 2 F h c m R l J T I w d m V y d m F u Z 2 V u M z Q 8 L 0 l 0 Z W 1 Q Y X R o P j w v S X R l b U x v Y 2 F 0 a W 9 u P j x T d G F i b G V F b n R y a W V z I C 8 + P C 9 J d G V t P j x J d G V t P j x J d G V t T G 9 j Y X R p b 2 4 + P E l 0 Z W 1 U e X B l P k Z v c m 1 1 b G E 8 L 0 l 0 Z W 1 U e X B l P j x J d G V t U G F 0 a D 5 T Z W N 0 a W 9 u M S 9 L R F J 2 T k I v V 2 F h c m R l J T I w d m V y d m F u Z 2 V u M z U 8 L 0 l 0 Z W 1 Q Y X R o P j w v S X R l b U x v Y 2 F 0 a W 9 u P j x T d G F i b G V F b n R y a W V z I C 8 + P C 9 J d G V t P j x J d G V t P j x J d G V t T G 9 j Y X R p b 2 4 + P E l 0 Z W 1 U e X B l P k Z v c m 1 1 b G E 8 L 0 l 0 Z W 1 U e X B l P j x J d G V t U G F 0 a D 5 T Z W N 0 a W 9 u M S 9 L R F J 2 T k I v T m F t Z W 4 l M j B 2 Y W 4 l M j B r b 2 x v b W 1 l b i U y M G d l d 2 l q e m l n Z D E 3 P C 9 J d G V t U G F 0 a D 4 8 L 0 l 0 Z W 1 M b 2 N h d G l v b j 4 8 U 3 R h Y m x l R W 5 0 c m l l c y A v P j w v S X R l b T 4 8 S X R l b T 4 8 S X R l b U x v Y 2 F 0 a W 9 u P j x J d G V t V H l w Z T 5 G b 3 J t d W x h P C 9 J d G V t V H l w Z T 4 8 S X R l b V B h d G g + U 2 V j d G l v b j E v S 0 R S d k 5 C L 1 d h Y X J k Z S U y M H Z l c n Z h b m d l b j M 2 P C 9 J d G V t U G F 0 a D 4 8 L 0 l 0 Z W 1 M b 2 N h d G l v b j 4 8 U 3 R h Y m x l R W 5 0 c m l l c y A v P j w v S X R l b T 4 8 S X R l b T 4 8 S X R l b U x v Y 2 F 0 a W 9 u P j x J d G V t V H l w Z T 5 G b 3 J t d W x h P C 9 J d G V t V H l w Z T 4 8 S X R l b V B h d G g + U 2 V j d G l v b j E v S 0 R S d k 5 C L 1 d h Y X J k Z S U y M H Z l c n Z h b m d l b j M 3 P C 9 J d G V t U G F 0 a D 4 8 L 0 l 0 Z W 1 M b 2 N h d G l v b j 4 8 U 3 R h Y m x l R W 5 0 c m l l c y A v P j w v S X R l b T 4 8 S X R l b T 4 8 S X R l b U x v Y 2 F 0 a W 9 u P j x J d G V t V H l w Z T 5 G b 3 J t d W x h P C 9 J d G V t V H l w Z T 4 8 S X R l b V B h d G g + U 2 V j d G l v b j E v S 0 R S d k 5 C L 1 d h Y X J k Z S U y M H Z l c n Z h b m d l b j M 4 P C 9 J d G V t U G F 0 a D 4 8 L 0 l 0 Z W 1 M b 2 N h d G l v b j 4 8 U 3 R h Y m x l R W 5 0 c m l l c y A v P j w v S X R l b T 4 8 S X R l b T 4 8 S X R l b U x v Y 2 F 0 a W 9 u P j x J d G V t V H l w Z T 5 G b 3 J t d W x h P C 9 J d G V t V H l w Z T 4 8 S X R l b V B h d G g + U 2 V j d G l v b j E v S 0 R S d k 5 C L 0 t v b G 9 t b W V u J T I w c 2 F t Z W 5 n Z X Z v Z W d k P C 9 J d G V t U G F 0 a D 4 8 L 0 l 0 Z W 1 M b 2 N h d G l v b j 4 8 U 3 R h Y m x l R W 5 0 c m l l c y A v P j w v S X R l b T 4 8 S X R l b T 4 8 S X R l b U x v Y 2 F 0 a W 9 u P j x J d G V t V H l w Z T 5 G b 3 J t d W x h P C 9 J d G V t V H l w Z T 4 8 S X R l b V B h d G g + U 2 V j d G l v b j E v S 0 R S d k 5 C L 0 t v b G 9 t b W V u J T I w c 2 F t Z W 5 n Z X Z v Z W d k M T w v S X R l b V B h d G g + P C 9 J d G V t T G 9 j Y X R p b 2 4 + P F N 0 Y W J s Z U V u d H J p Z X M g L z 4 8 L 0 l 0 Z W 0 + P E l 0 Z W 0 + P E l 0 Z W 1 M b 2 N h d G l v b j 4 8 S X R l b V R 5 c G U + R m 9 y b X V s Y T w v S X R l b V R 5 c G U + P E l 0 Z W 1 Q Y X R o P l N l Y 3 R p b 2 4 x L 0 t E U n Z O Q i 9 L b 2 x v b W 1 l b i U y M H N h b W V u Z 2 V 2 b 2 V n Z D I 8 L 0 l 0 Z W 1 Q Y X R o P j w v S X R l b U x v Y 2 F 0 a W 9 u P j x T d G F i b G V F b n R y a W V z I C 8 + P C 9 J d G V t P j x J d G V t P j x J d G V t T G 9 j Y X R p b 2 4 + P E l 0 Z W 1 U e X B l P k Z v c m 1 1 b G E 8 L 0 l 0 Z W 1 U e X B l P j x J d G V t U G F 0 a D 5 T Z W N 0 a W 9 u M S 9 L R F J 2 T k I v V 2 F h c m R l J T I w d m V y d m F u Z 2 V u M z k 8 L 0 l 0 Z W 1 Q Y X R o P j w v S X R l b U x v Y 2 F 0 a W 9 u P j x T d G F i b G V F b n R y a W V z I C 8 + P C 9 J d G V t P j x J d G V t P j x J d G V t T G 9 j Y X R p b 2 4 + P E l 0 Z W 1 U e X B l P k Z v c m 1 1 b G E 8 L 0 l 0 Z W 1 U e X B l P j x J d G V t U G F 0 a D 5 T Z W N 0 a W 9 u M S 9 L R F J 2 T k I v T m F t Z W 4 l M j B 2 Y W 4 l M j B r b 2 x v b W 1 l b i U y M G d l d 2 l q e m l n Z D E 5 P C 9 J d G V t U G F 0 a D 4 8 L 0 l 0 Z W 1 M b 2 N h d G l v b j 4 8 U 3 R h Y m x l R W 5 0 c m l l c y A v P j w v S X R l b T 4 8 S X R l b T 4 8 S X R l b U x v Y 2 F 0 a W 9 u P j x J d G V t V H l w Z T 5 G b 3 J t d W x h P C 9 J d G V t V H l w Z T 4 8 S X R l b V B h d G g + U 2 V j d G l v b j E v S 0 R S d k 5 C L 1 d h Y X J k Z S U y M H Z l c n Z h b m d l b j Q w P C 9 J d G V t U G F 0 a D 4 8 L 0 l 0 Z W 1 M b 2 N h d G l v b j 4 8 U 3 R h Y m x l R W 5 0 c m l l c y A v P j w v S X R l b T 4 8 S X R l b T 4 8 S X R l b U x v Y 2 F 0 a W 9 u P j x J d G V t V H l w Z T 5 G b 3 J t d W x h P C 9 J d G V t V H l w Z T 4 8 S X R l b V B h d G g + U 2 V j d G l v b j E v S 0 R S d k 5 C L 1 J p a m V u J T I w Z 2 V z b 3 J 0 Z W V y Z D w v S X R l b V B h d G g + P C 9 J d G V t T G 9 j Y X R p b 2 4 + P F N 0 Y W J s Z U V u d H J p Z X M g L z 4 8 L 0 l 0 Z W 0 + P E l 0 Z W 0 + P E l 0 Z W 1 M b 2 N h d G l v b j 4 8 S X R l b V R 5 c G U + R m 9 y b X V s Y T w v S X R l b V R 5 c G U + P E l 0 Z W 1 Q Y X R o P l N l Y 3 R p b 2 4 x L 0 t y a W 5 n Z G F n Z W 4 v Q n J v b j w v S X R l b V B h d G g + P C 9 J d G V t T G 9 j Y X R p b 2 4 + P F N 0 Y W J s Z U V u d H J p Z X M g L z 4 8 L 0 l 0 Z W 0 + P E l 0 Z W 0 + P E l 0 Z W 1 M b 2 N h d G l v b j 4 8 S X R l b V R 5 c G U + R m 9 y b X V s Y T w v S X R l b V R 5 c G U + P E l 0 Z W 1 Q Y X R o P l N l Y 3 R p b 2 4 x L 0 t E T S 9 U e X B l J T I w Z 2 V 3 a W p 6 a W d k M T w v S X R l b V B h d G g + P C 9 J d G V t T G 9 j Y X R p b 2 4 + P F N 0 Y W J s Z U V u d H J p Z X M g L z 4 8 L 0 l 0 Z W 0 + P E l 0 Z W 0 + P E l 0 Z W 1 M b 2 N h d G l v b j 4 8 S X R l b V R 5 c G U + R m 9 y b X V s Y T w v S X R l b V R 5 c G U + P E l 0 Z W 1 Q Y X R o P l N l Y 3 R p b 2 4 x L 0 t E T C 9 U e X B l J T I w Z 2 V 3 a W p 6 a W d k M T w v S X R l b V B h d G g + P C 9 J d G V t T G 9 j Y X R p b 2 4 + P F N 0 Y W J s Z U V u d H J p Z X M g L z 4 8 L 0 l 0 Z W 0 + P E l 0 Z W 0 + P E l 0 Z W 1 M b 2 N h d G l v b j 4 8 S X R l b V R 5 c G U + R m 9 y b X V s Y T w v S X R l b V R 5 c G U + P E l 0 Z W 1 Q Y X R o P l N l Y 3 R p b 2 4 x L 0 t E Q S 9 U e X B l J T I w Z 2 V 3 a W p 6 a W d k M T w v S X R l b V B h d G g + P C 9 J d G V t T G 9 j Y X R p b 2 4 + P F N 0 Y W J s Z U V u d H J p Z X M g L z 4 8 L 0 l 0 Z W 0 + P E l 0 Z W 0 + P E l 0 Z W 1 M b 2 N h d G l v b j 4 8 S X R l b V R 5 c G U + R m 9 y b X V s Y T w v S X R l b V R 5 c G U + P E l 0 Z W 1 Q Y X R o P l N l Y 3 R p b 2 4 x L 0 t E U n Z O Q i 9 U e X B l J T I w Z 2 V 3 a W p 6 a W d k M T w v S X R l b V B h d G g + P C 9 J d G V t T G 9 j Y X R p b 2 4 + P F N 0 Y W J s Z U V u d H J p Z X M g L z 4 8 L 0 l 0 Z W 0 + P E l 0 Z W 0 + P E l 0 Z W 1 M b 2 N h d G l v b j 4 8 S X R l b V R 5 c G U + R m 9 y b X V s Y T w v S X R l b V R 5 c G U + P E l 0 Z W 1 Q Y X R o P l N l Y 3 R p b 2 4 x L 0 Z T R C 9 U e X B l J T I w Z 2 V 3 a W p 6 a W d k M T w v S X R l b V B h d G g + P C 9 J d G V t T G 9 j Y X R p b 2 4 + P F N 0 Y W J s Z U V u d H J p Z X M g L z 4 8 L 0 l 0 Z W 0 + P E l 0 Z W 0 + P E l 0 Z W 1 M b 2 N h d G l v b j 4 8 S X R l b V R 5 c G U + R m 9 y b X V s Y T w v S X R l b V R 5 c G U + P E l 0 Z W 1 Q Y X R o P l N l Y 3 R p b 2 4 x L 1 Z v b 3 J i Z W V s Z G J l c 3 R h b m Q v Q n J v b j w v S X R l b V B h d G g + P C 9 J d G V t T G 9 j Y X R p b 2 4 + P F N 0 Y W J s Z U V u d H J p Z X M g L z 4 8 L 0 l 0 Z W 0 + P E l 0 Z W 0 + P E l 0 Z W 1 M b 2 N h d G l v b j 4 8 S X R l b V R 5 c G U + R m 9 y b X V s Y T w v S X R l b V R 5 c G U + P E l 0 Z W 1 Q Y X R o P l N l Y 3 R p b 2 4 x L 1 Z v b 3 J i Z W V s Z G J l c 3 R h b m Q v T m F 2 a W d h d G l l M T w v S X R l b V B h d G g + P C 9 J d G V t T G 9 j Y X R p b 2 4 + P F N 0 Y W J s Z U V u d H J p Z X M g L z 4 8 L 0 l 0 Z W 0 + P E l 0 Z W 0 + P E l 0 Z W 1 M b 2 N h d G l v b j 4 8 S X R l b V R 5 c G U + R m 9 y b X V s Y T w v S X R l b V R 5 c G U + P E l 0 Z W 1 Q Y X R o P l N l Y 3 R p b 2 4 x L 1 Z v b 3 J i Z W V s Z G J l c 3 R h b m Q l M j B 0 c m F u c 2 Z v c m 1 l c m V u L 0 J y b 2 4 8 L 0 l 0 Z W 1 Q Y X R o P j w v S X R l b U x v Y 2 F 0 a W 9 u P j x T d G F i b G V F b n R y a W V z I C 8 + P C 9 J d G V t P j x J d G V t P j x J d G V t T G 9 j Y X R p b 2 4 + P E l 0 Z W 1 U e X B l P k Z v c m 1 1 b G E 8 L 0 l 0 Z W 1 U e X B l P j x J d G V t U G F 0 a D 5 T Z W N 0 a W 9 u M S 9 W b 2 9 y Y m V l b G R i Z X N 0 Y W 5 k J T I w d H J h b n N m b 3 J t Z X J l b i 9 I Z W F k Z X J z J T I w b W V 0 J T I w d m V y a G 9 v Z 2 Q l M j B u a X Z l Y X U 8 L 0 l 0 Z W 1 Q Y X R o P j w v S X R l b U x v Y 2 F 0 a W 9 u P j x T d G F i b G V F b n R y a W V z I C 8 + P C 9 J d G V t P j x J d G V t P j x J d G V t T G 9 j Y X R p b 2 4 + P E l 0 Z W 1 U e X B l P k Z v c m 1 1 b G E 8 L 0 l 0 Z W 1 U e X B l P j x J d G V t U G F 0 a D 5 T Z W N 0 a W 9 u M S 9 W b 2 9 y Y m V l b G R i Z X N 0 Y W 5 k J T I w J T I 4 M i U y O S 9 C c m 9 u P C 9 J d G V t U G F 0 a D 4 8 L 0 l 0 Z W 1 M b 2 N h d G l v b j 4 8 U 3 R h Y m x l R W 5 0 c m l l c y A v P j w v S X R l b T 4 8 S X R l b T 4 8 S X R l b U x v Y 2 F 0 a W 9 u P j x J d G V t V H l w Z T 5 G b 3 J t d W x h P C 9 J d G V t V H l w Z T 4 8 S X R l b V B h d G g + U 2 V j d G l v b j E v V m 9 v c m J l Z W x k Y m V z d G F u Z C U y M C U y O D I l M j k v T m F 2 a W d h d G l l M T w v S X R l b V B h d G g + P C 9 J d G V t T G 9 j Y X R p b 2 4 + P F N 0 Y W J s Z U V u d H J p Z X M g L z 4 8 L 0 l 0 Z W 0 + P E l 0 Z W 0 + P E l 0 Z W 1 M b 2 N h d G l v b j 4 8 S X R l b V R 5 c G U + R m 9 y b X V s Y T w v S X R l b V R 5 c G U + P E l 0 Z W 1 Q Y X R o P l N l Y 3 R p b 2 4 x L 1 Z v b 3 J i Z W V s Z G J l c 3 R h b m Q l M j B 0 c m F u c 2 Z v c m 1 l c m V u J T I w J T I 4 M i U y O S 9 C c m 9 u P C 9 J d G V t U G F 0 a D 4 8 L 0 l 0 Z W 1 M b 2 N h d G l v b j 4 8 U 3 R h Y m x l R W 5 0 c m l l c y A v P j w v S X R l b T 4 8 S X R l b T 4 8 S X R l b U x v Y 2 F 0 a W 9 u P j x J d G V t V H l w Z T 5 G b 3 J t d W x h P C 9 J d G V t V H l w Z T 4 8 S X R l b V B h d G g + U 2 V j d G l v b j E v V m 9 v c m J l Z W x k Y m V z d G F u Z C U y M H R y Y W 5 z Z m 9 y b W V y Z W 4 l M j A l M j g y J T I 5 L 0 h l Y W R l c n M l M j B t Z X Q l M j B 2 Z X J o b 2 9 n Z C U y M G 5 p d m V h d T w v S X R l b V B h d G g + P C 9 J d G V t T G 9 j Y X R p b 2 4 + P F N 0 Y W J s Z U V u d H J p Z X M g L z 4 8 L 0 l 0 Z W 0 + P E l 0 Z W 0 + P E l 0 Z W 1 M b 2 N h d G l v b j 4 8 S X R l b V R 5 c G U + R m 9 y b X V s Y T w v S X R l b V R 5 c G U + P E l 0 Z W 1 Q Y X R o P l N l Y 3 R p b 2 4 x L 0 d L V k k v Q n J v b j w v S X R l b V B h d G g + P C 9 J d G V t T G 9 j Y X R p b 2 4 + P F N 0 Y W J s Z U V u d H J p Z X M g L z 4 8 L 0 l 0 Z W 0 + P E l 0 Z W 0 + P E l 0 Z W 1 M b 2 N h d G l v b j 4 8 S X R l b V R 5 c G U + R m 9 y b X V s Y T w v S X R l b V R 5 c G U + P E l 0 Z W 1 Q Y X R o P l N l Y 3 R p b 2 4 x L 0 d L V k k v S G V h Z G V y c y U y M G 1 l d C U y M H Z l c m h v b 2 d k J T I w b m l 2 Z W F 1 P C 9 J d G V t U G F 0 a D 4 8 L 0 l 0 Z W 1 M b 2 N h d G l v b j 4 8 U 3 R h Y m x l R W 5 0 c m l l c y A v P j w v S X R l b T 4 8 S X R l b T 4 8 S X R l b U x v Y 2 F 0 a W 9 u P j x J d G V t V H l w Z T 5 G b 3 J t d W x h P C 9 J d G V t V H l w Z T 4 8 S X R l b V B h d G g + U 2 V j d G l v b j E v R 0 t W S S 9 L b 2 x v b W 1 l b i U y M H Z l c n d p a m R l c m Q 8 L 0 l 0 Z W 1 Q Y X R o P j w v S X R l b U x v Y 2 F 0 a W 9 u P j x T d G F i b G V F b n R y a W V z I C 8 + P C 9 J d G V t P j x J d G V t P j x J d G V t T G 9 j Y X R p b 2 4 + P E l 0 Z W 1 U e X B l P k Z v c m 1 1 b G E 8 L 0 l 0 Z W 1 U e X B l P j x J d G V t U G F 0 a D 5 T Z W N 0 a W 9 u M S 9 H S 1 Z J L 0 5 h b W V u J T I w d m F u J T I w a 2 9 s b 2 1 t Z W 4 l M j B n Z X d p a n p p Z 2 Q 8 L 0 l 0 Z W 1 Q Y X R o P j w v S X R l b U x v Y 2 F 0 a W 9 u P j x T d G F i b G V F b n R y a W V z I C 8 + P C 9 J d G V t P j x J d G V t P j x J d G V t T G 9 j Y X R p b 2 4 + P E l 0 Z W 1 U e X B l P k Z v c m 1 1 b G E 8 L 0 l 0 Z W 1 U e X B l P j x J d G V t U G F 0 a D 5 T Z W N 0 a W 9 u M S 9 H S 1 Z J L 0 t v b G 9 t b W V u J T I w d m V y d 2 l q Z G V y Z D E 8 L 0 l 0 Z W 1 Q Y X R o P j w v S X R l b U x v Y 2 F 0 a W 9 u P j x T d G F i b G V F b n R y a W V z I C 8 + P C 9 J d G V t P j x J d G V t P j x J d G V t T G 9 j Y X R p b 2 4 + P E l 0 Z W 1 U e X B l P k Z v c m 1 1 b G E 8 L 0 l 0 Z W 1 U e X B l P j x J d G V t U G F 0 a D 5 T Z W N 0 a W 9 u M S 9 H S 1 Z J L 0 5 h b W V u J T I w d m F u J T I w a 2 9 s b 2 1 t Z W 4 l M j B n Z X d p a n p p Z 2 Q 0 P C 9 J d G V t U G F 0 a D 4 8 L 0 l 0 Z W 1 M b 2 N h d G l v b j 4 8 U 3 R h Y m x l R W 5 0 c m l l c y A v P j w v S X R l b T 4 8 S X R l b T 4 8 S X R l b U x v Y 2 F 0 a W 9 u P j x J d G V t V H l w Z T 5 G b 3 J t d W x h P C 9 J d G V t V H l w Z T 4 8 S X R l b V B h d G g + U 2 V j d G l v b j E v R 0 t W S S 9 O Y W 1 l b i U y M H Z h b i U y M G t v b G 9 t b W V u J T I w Z 2 V 3 a W p 6 a W d k N T w v S X R l b V B h d G g + P C 9 J d G V t T G 9 j Y X R p b 2 4 + P F N 0 Y W J s Z U V u d H J p Z X M g L z 4 8 L 0 l 0 Z W 0 + P E l 0 Z W 0 + P E l 0 Z W 1 M b 2 N h d G l v b j 4 8 S X R l b V R 5 c G U + R m 9 y b X V s Y T w v S X R l b V R 5 c G U + P E l 0 Z W 1 Q Y X R o P l N l Y 3 R p b 2 4 x L 0 d L V k k v T m F t Z W 4 l M j B 2 Y W 4 l M j B r b 2 x v b W 1 l b i U y M G d l d 2 l q e m l n Z D Y 8 L 0 l 0 Z W 1 Q Y X R o P j w v S X R l b U x v Y 2 F 0 a W 9 u P j x T d G F i b G V F b n R y a W V z I C 8 + P C 9 J d G V t P j x J d G V t P j x J d G V t T G 9 j Y X R p b 2 4 + P E l 0 Z W 1 U e X B l P k Z v c m 1 1 b G E 8 L 0 l 0 Z W 1 U e X B l P j x J d G V t U G F 0 a D 5 T Z W N 0 a W 9 u M S 9 H S 1 Z J L 0 t v b G 9 t b W V u J T I w d m V y d 2 l q Z G V y Z D I 8 L 0 l 0 Z W 1 Q Y X R o P j w v S X R l b U x v Y 2 F 0 a W 9 u P j x T d G F i b G V F b n R y a W V z I C 8 + P C 9 J d G V t P j x J d G V t P j x J d G V t T G 9 j Y X R p b 2 4 + P E l 0 Z W 1 U e X B l P k Z v c m 1 1 b G E 8 L 0 l 0 Z W 1 U e X B l P j x J d G V t U G F 0 a D 5 T Z W N 0 a W 9 u M S 9 H S 1 Z J L 0 5 h b W V u J T I w d m F u J T I w a 2 9 s b 2 1 t Z W 4 l M j B n Z X d p a n p p Z 2 Q 3 P C 9 J d G V t U G F 0 a D 4 8 L 0 l 0 Z W 1 M b 2 N h d G l v b j 4 8 U 3 R h Y m x l R W 5 0 c m l l c y A v P j w v S X R l b T 4 8 S X R l b T 4 8 S X R l b U x v Y 2 F 0 a W 9 u P j x J d G V t V H l w Z T 5 G b 3 J t d W x h P C 9 J d G V t V H l w Z T 4 8 S X R l b V B h d G g + U 2 V j d G l v b j E v R 0 t W S S 9 O Y W 1 l b i U y M H Z h b i U y M G t v b G 9 t b W V u J T I w Z 2 V 3 a W p 6 a W d k O D w v S X R l b V B h d G g + P C 9 J d G V t T G 9 j Y X R p b 2 4 + P F N 0 Y W J s Z U V u d H J p Z X M g L z 4 8 L 0 l 0 Z W 0 + P E l 0 Z W 0 + P E l 0 Z W 1 M b 2 N h d G l v b j 4 8 S X R l b V R 5 c G U + R m 9 y b X V s Y T w v S X R l b V R 5 c G U + P E l 0 Z W 1 Q Y X R o P l N l Y 3 R p b 2 4 x L 0 d L V k k v T m F t Z W 4 l M j B 2 Y W 4 l M j B r b 2 x v b W 1 l b i U y M G d l d 2 l q e m l n Z D k 8 L 0 l 0 Z W 1 Q Y X R o P j w v S X R l b U x v Y 2 F 0 a W 9 u P j x T d G F i b G V F b n R y a W V z I C 8 + P C 9 J d G V t P j x J d G V t P j x J d G V t T G 9 j Y X R p b 2 4 + P E l 0 Z W 1 U e X B l P k Z v c m 1 1 b G E 8 L 0 l 0 Z W 1 U e X B l P j x J d G V t U G F 0 a D 5 T Z W N 0 a W 9 u M S 9 H S 1 Z J L 0 5 h b W V u J T I w d m F u J T I w a 2 9 s b 2 1 t Z W 4 l M j B n Z X d p a n p p Z 2 Q x M z w v S X R l b V B h d G g + P C 9 J d G V t T G 9 j Y X R p b 2 4 + P F N 0 Y W J s Z U V u d H J p Z X M g L z 4 8 L 0 l 0 Z W 0 + P E l 0 Z W 0 + P E l 0 Z W 1 M b 2 N h d G l v b j 4 8 S X R l b V R 5 c G U + R m 9 y b X V s Y T w v S X R l b V R 5 c G U + P E l 0 Z W 1 Q Y X R o P l N l Y 3 R p b 2 4 x L 0 d L V k k v U m l q Z W 4 l M j B n Z X N v c n R l Z X J k P C 9 J d G V t U G F 0 a D 4 8 L 0 l 0 Z W 1 M b 2 N h d G l v b j 4 8 U 3 R h Y m x l R W 5 0 c m l l c y A v P j w v S X R l b T 4 8 S X R l b T 4 8 S X R l b U x v Y 2 F 0 a W 9 u P j x J d G V t V H l w Z T 5 G b 3 J t d W x h P C 9 J d G V t V H l w Z T 4 8 S X R l b V B h d G g + U 2 V j d G l v b j E v R 0 t W S S 9 L b 2 x v b W 1 l b i U y M H Z l c n d p a m R l c m Q z P C 9 J d G V t U G F 0 a D 4 8 L 0 l 0 Z W 1 M b 2 N h d G l v b j 4 8 U 3 R h Y m x l R W 5 0 c m l l c y A v P j w v S X R l b T 4 8 S X R l b T 4 8 S X R l b U x v Y 2 F 0 a W 9 u P j x J d G V t V H l w Z T 5 G b 3 J t d W x h P C 9 J d G V t V H l w Z T 4 8 S X R l b V B h d G g + U 2 V j d G l v b j E v R 0 t W S S 9 O Y W 1 l b i U y M H Z h b i U y M G t v b G 9 t b W V u J T I w Z 2 V 3 a W p 6 a W d k M T w v S X R l b V B h d G g + P C 9 J d G V t T G 9 j Y X R p b 2 4 + P F N 0 Y W J s Z U V u d H J p Z X M g L z 4 8 L 0 l 0 Z W 0 + P E l 0 Z W 0 + P E l 0 Z W 1 M b 2 N h d G l v b j 4 8 S X R l b V R 5 c G U + R m 9 y b X V s Y T w v S X R l b V R 5 c G U + P E l 0 Z W 1 Q Y X R o P l N l Y 3 R p b 2 4 x L 0 d L V k k v S 2 9 s b 2 1 t Z W 4 l M j B 2 Z X J 3 a W p k Z X J k N D w v S X R l b V B h d G g + P C 9 J d G V t T G 9 j Y X R p b 2 4 + P F N 0 Y W J s Z U V u d H J p Z X M g L z 4 8 L 0 l 0 Z W 0 + P E l 0 Z W 0 + P E l 0 Z W 1 M b 2 N h d G l v b j 4 8 S X R l b V R 5 c G U + R m 9 y b X V s Y T w v S X R l b V R 5 c G U + P E l 0 Z W 1 Q Y X R o P l N l Y 3 R p b 2 4 x L 0 d L V k k v T m F t Z W 4 l M j B 2 Y W 4 l M j B r b 2 x v b W 1 l b i U y M G d l d 2 l q e m l n Z D E w P C 9 J d G V t U G F 0 a D 4 8 L 0 l 0 Z W 1 M b 2 N h d G l v b j 4 8 U 3 R h Y m x l R W 5 0 c m l l c y A v P j w v S X R l b T 4 8 S X R l b T 4 8 S X R l b U x v Y 2 F 0 a W 9 u P j x J d G V t V H l w Z T 5 G b 3 J t d W x h P C 9 J d G V t V H l w Z T 4 8 S X R l b V B h d G g + U 2 V j d G l v b j E v R 0 t W S S 9 L b 2 x v b W 1 l b i U y M H Z l c n d p a m R l c m Q 1 P C 9 J d G V t U G F 0 a D 4 8 L 0 l 0 Z W 1 M b 2 N h d G l v b j 4 8 U 3 R h Y m x l R W 5 0 c m l l c y A v P j w v S X R l b T 4 8 S X R l b T 4 8 S X R l b U x v Y 2 F 0 a W 9 u P j x J d G V t V H l w Z T 5 G b 3 J t d W x h P C 9 J d G V t V H l w Z T 4 8 S X R l b V B h d G g + U 2 V j d G l v b j E v Q m l l b G V t Y W 5 0 c m V m Z m V u L 0 J y b 2 4 8 L 0 l 0 Z W 1 Q Y X R o P j w v S X R l b U x v Y 2 F 0 a W 9 u P j x T d G F i b G V F b n R y a W V z I C 8 + P C 9 J d G V t P j x J d G V t P j x J d G V t T G 9 j Y X R p b 2 4 + P E l 0 Z W 1 U e X B l P k Z v c m 1 1 b G E 8 L 0 l 0 Z W 1 U e X B l P j x J d G V t U G F 0 a D 5 T Z W N 0 a W 9 u M S 9 C a W V s Z W 1 h b n R y Z W Z m Z W 4 v V H l w Z S U y M G d l d 2 l q e m l n Z D w v S X R l b V B h d G g + P C 9 J d G V t T G 9 j Y X R p b 2 4 + P F N 0 Y W J s Z U V u d H J p Z X M g L z 4 8 L 0 l 0 Z W 0 + P E l 0 Z W 0 + P E l 0 Z W 1 M b 2 N h d G l v b j 4 8 S X R l b V R 5 c G U + R m 9 y b X V s Y T w v S X R l b V R 5 c G U + P E l 0 Z W 1 Q Y X R o P l N l Y 3 R p b 2 4 x L 0 J p Z W x l b W F u d H J l Z m Z l b i 9 I Z W F k Z X J z J T I w b W V 0 J T I w d m V y a G 9 v Z 2 Q l M j B u a X Z l Y X U 8 L 0 l 0 Z W 1 Q Y X R o P j w v S X R l b U x v Y 2 F 0 a W 9 u P j x T d G F i b G V F b n R y a W V z I C 8 + P C 9 J d G V t P j x J d G V t P j x J d G V t T G 9 j Y X R p b 2 4 + P E l 0 Z W 1 U e X B l P k Z v c m 1 1 b G E 8 L 0 l 0 Z W 1 U e X B l P j x J d G V t U G F 0 a D 5 T Z W N 0 a W 9 u M S 9 C a W V s Z W 1 h b n R y Z W Z m Z W 4 v T m F t Z W 4 l M j B 2 Y W 4 l M j B r b 2 x v b W 1 l b i U y M G d l d 2 l q e m l n Z D w v S X R l b V B h d G g + P C 9 J d G V t T G 9 j Y X R p b 2 4 + P F N 0 Y W J s Z U V u d H J p Z X M g L z 4 8 L 0 l 0 Z W 0 + P E l 0 Z W 0 + P E l 0 Z W 1 M b 2 N h d G l v b j 4 8 S X R l b V R 5 c G U + R m 9 y b X V s Y T w v S X R l b V R 5 c G U + P E l 0 Z W 1 Q Y X R o P l N l Y 3 R p b 2 4 x L 0 J p Z W x l b W F u d H J l Z m Z l b i 9 S a W p l b i U y M G d l c 2 9 y d G V l c m Q 8 L 0 l 0 Z W 1 Q Y X R o P j w v S X R l b U x v Y 2 F 0 a W 9 u P j x T d G F i b G V F b n R y a W V z I C 8 + P C 9 J d G V t P j x J d G V t P j x J d G V t T G 9 j Y X R p b 2 4 + P E l 0 Z W 1 U e X B l P k Z v c m 1 1 b G E 8 L 0 l 0 Z W 1 U e X B l P j x J d G V t U G F 0 a D 5 T Z W N 0 a W 9 u M S 9 C a W V s Z W 1 h b n R y Z W Z m Z W 4 v V m 9 s Z 2 9 y Z G U l M j B 2 Y W 4 l M j B r b 2 x v b W 1 l b i U y M G d l d 2 l q e m l n Z D w v S X R l b V B h d G g + P C 9 J d G V t T G 9 j Y X R p b 2 4 + P F N 0 Y W J s Z U V u d H J p Z X M g L z 4 8 L 0 l 0 Z W 0 + P E l 0 Z W 0 + P E l 0 Z W 1 M b 2 N h d G l v b j 4 8 S X R l b V R 5 c G U + R m 9 y b X V s Y T w v S X R l b V R 5 c G U + P E l 0 Z W 1 Q Y X R o P l N l Y 3 R p b 2 4 x L 0 x K L 0 J y b 2 4 8 L 0 l 0 Z W 1 Q Y X R o P j w v S X R l b U x v Y 2 F 0 a W 9 u P j x T d G F i b G V F b n R y a W V z I C 8 + P C 9 J d G V t P j x J d G V t P j x J d G V t T G 9 j Y X R p b 2 4 + P E l 0 Z W 1 U e X B l P k Z v c m 1 1 b G E 8 L 0 l 0 Z W 1 U e X B l P j x J d G V t U G F 0 a D 5 T Z W N 0 a W 9 u M S 9 M S i 9 U e X B l J T I w Z 2 V 3 a W p 6 a W d k P C 9 J d G V t U G F 0 a D 4 8 L 0 l 0 Z W 1 M b 2 N h d G l v b j 4 8 U 3 R h Y m x l R W 5 0 c m l l c y A v P j w v S X R l b T 4 8 S X R l b T 4 8 S X R l b U x v Y 2 F 0 a W 9 u P j x J d G V t V H l w Z T 5 G b 3 J t d W x h P C 9 J d G V t V H l w Z T 4 8 S X R l b V B h d G g + U 2 V j d G l v b j E v T E o v S G V h Z G V y c y U y M G 1 l d C U y M H Z l c m h v b 2 d k J T I w b m l 2 Z W F 1 P C 9 J d G V t U G F 0 a D 4 8 L 0 l 0 Z W 1 M b 2 N h d G l v b j 4 8 U 3 R h Y m x l R W 5 0 c m l l c y A v P j w v S X R l b T 4 8 S X R l b T 4 8 S X R l b U x v Y 2 F 0 a W 9 u P j x J d G V t V H l w Z T 5 G b 3 J t d W x h P C 9 J d G V t V H l w Z T 4 8 S X R l b V B h d G g + U 2 V j d G l v b j E v T E o v S 2 9 s b 2 1 t Z W 4 l M j B 2 Z X J 3 a W p k Z X J k P C 9 J d G V t U G F 0 a D 4 8 L 0 l 0 Z W 1 M b 2 N h d G l v b j 4 8 U 3 R h Y m x l R W 5 0 c m l l c y A v P j w v S X R l b T 4 8 S X R l b T 4 8 S X R l b U x v Y 2 F 0 a W 9 u P j x J d G V t V H l w Z T 5 G b 3 J t d W x h P C 9 J d G V t V H l w Z T 4 8 S X R l b V B h d G g + U 2 V j d G l v b j E v T E o v V m 9 s Z 2 9 y Z G U l M j B 2 Y W 4 l M j B r b 2 x v b W 1 l b i U y M G d l d 2 l q e m l n Z D w v S X R l b V B h d G g + P C 9 J d G V t T G 9 j Y X R p b 2 4 + P F N 0 Y W J s Z U V u d H J p Z X M g L z 4 8 L 0 l 0 Z W 0 + P E l 0 Z W 0 + P E l 0 Z W 1 M b 2 N h d G l v b j 4 8 S X R l b V R 5 c G U + R m 9 y b X V s Y T w v S X R l b V R 5 c G U + P E l 0 Z W 1 Q Y X R o P l N l Y 3 R p b 2 4 x L 0 x K L 0 5 h b W V u J T I w d m F u J T I w a 2 9 s b 2 1 t Z W 4 l M j B n Z X d p a n p p Z 2 Q 8 L 0 l 0 Z W 1 Q Y X R o P j w v S X R l b U x v Y 2 F 0 a W 9 u P j x T d G F i b G V F b n R y a W V z I C 8 + P C 9 J d G V t P j x J d G V t P j x J d G V t T G 9 j Y X R p b 2 4 + P E l 0 Z W 1 U e X B l P k Z v c m 1 1 b G E 8 L 0 l 0 Z W 1 U e X B l P j x J d G V t U G F 0 a D 5 T Z W N 0 a W 9 u M S 9 M S i 9 X Y W F y Z G U l M j B 2 Z X J 2 Y W 5 n Z W 4 8 L 0 l 0 Z W 1 Q Y X R o P j w v S X R l b U x v Y 2 F 0 a W 9 u P j x T d G F i b G V F b n R y a W V z I C 8 + P C 9 J d G V t P j x J d G V t P j x J d G V t T G 9 j Y X R p b 2 4 + P E l 0 Z W 1 U e X B l P k Z v c m 1 1 b G E 8 L 0 l 0 Z W 1 U e X B l P j x J d G V t U G F 0 a D 5 T Z W N 0 a W 9 u M S 9 M S i 9 X Y W F y Z G U l M j B 2 Z X J 2 Y W 5 n Z W 4 x P C 9 J d G V t U G F 0 a D 4 8 L 0 l 0 Z W 1 M b 2 N h d G l v b j 4 8 U 3 R h Y m x l R W 5 0 c m l l c y A v P j w v S X R l b T 4 8 S X R l b T 4 8 S X R l b U x v Y 2 F 0 a W 9 u P j x J d G V t V H l w Z T 5 G b 3 J t d W x h P C 9 J d G V t V H l w Z T 4 8 S X R l b V B h d G g + U 2 V j d G l v b j E v T E o v T m F t Z W 4 l M j B 2 Y W 4 l M j B r b 2 x v b W 1 l b i U y M G d l d 2 l q e m l n Z D E 8 L 0 l 0 Z W 1 Q Y X R o P j w v S X R l b U x v Y 2 F 0 a W 9 u P j x T d G F i b G V F b n R y a W V z I C 8 + P C 9 J d G V t P j x J d G V t P j x J d G V t T G 9 j Y X R p b 2 4 + P E l 0 Z W 1 U e X B l P k Z v c m 1 1 b G E 8 L 0 l 0 Z W 1 U e X B l P j x J d G V t U G F 0 a D 5 T Z W N 0 a W 9 u M S 9 M S i 9 X Y W F y Z G U l M j B 2 Z X J 2 Y W 5 n Z W 4 y P C 9 J d G V t U G F 0 a D 4 8 L 0 l 0 Z W 1 M b 2 N h d G l v b j 4 8 U 3 R h Y m x l R W 5 0 c m l l c y A v P j w v S X R l b T 4 8 S X R l b T 4 8 S X R l b U x v Y 2 F 0 a W 9 u P j x J d G V t V H l w Z T 5 G b 3 J t d W x h P C 9 J d G V t V H l w Z T 4 8 S X R l b V B h d G g + U 2 V j d G l v b j E v T E o v V 2 F h c m R l J T I w d m V y d m F u Z 2 V u M z w v S X R l b V B h d G g + P C 9 J d G V t T G 9 j Y X R p b 2 4 + P F N 0 Y W J s Z U V u d H J p Z X M g L z 4 8 L 0 l 0 Z W 0 + P E l 0 Z W 0 + P E l 0 Z W 1 M b 2 N h d G l v b j 4 8 S X R l b V R 5 c G U + R m 9 y b X V s Y T w v S X R l b V R 5 c G U + P E l 0 Z W 1 Q Y X R o P l N l Y 3 R p b 2 4 x L 0 x K L 0 5 h b W V u J T I w d m F u J T I w a 2 9 s b 2 1 t Z W 4 l M j B n Z X d p a n p p Z 2 Q y P C 9 J d G V t U G F 0 a D 4 8 L 0 l 0 Z W 1 M b 2 N h d G l v b j 4 8 U 3 R h Y m x l R W 5 0 c m l l c y A v P j w v S X R l b T 4 8 S X R l b T 4 8 S X R l b U x v Y 2 F 0 a W 9 u P j x J d G V t V H l w Z T 5 G b 3 J t d W x h P C 9 J d G V t V H l w Z T 4 8 S X R l b V B h d G g + U 2 V j d G l v b j E v T E o v V 2 F h c m R l J T I w d m V y d m F u Z 2 V u N D w v S X R l b V B h d G g + P C 9 J d G V t T G 9 j Y X R p b 2 4 + P F N 0 Y W J s Z U V u d H J p Z X M g L z 4 8 L 0 l 0 Z W 0 + P E l 0 Z W 0 + P E l 0 Z W 1 M b 2 N h d G l v b j 4 8 S X R l b V R 5 c G U + R m 9 y b X V s Y T w v S X R l b V R 5 c G U + P E l 0 Z W 1 Q Y X R o P l N l Y 3 R p b 2 4 x L 0 x K L 1 d h Y X J k Z S U y M H Z l c n Z h b m d l b j U 8 L 0 l 0 Z W 1 Q Y X R o P j w v S X R l b U x v Y 2 F 0 a W 9 u P j x T d G F i b G V F b n R y a W V z I C 8 + P C 9 J d G V t P j x J d G V t P j x J d G V t T G 9 j Y X R p b 2 4 + P E l 0 Z W 1 U e X B l P k Z v c m 1 1 b G E 8 L 0 l 0 Z W 1 U e X B l P j x J d G V t U G F 0 a D 5 T Z W N 0 a W 9 u M S 9 M S i 9 L b 2 x v b S U y M H N w b G l 0 c 2 V u J T I w b 3 A l M j B z Y 2 h l a W R p b m d z d G V r Z W 4 8 L 0 l 0 Z W 1 Q Y X R o P j w v S X R l b U x v Y 2 F 0 a W 9 u P j x T d G F i b G V F b n R y a W V z I C 8 + P C 9 J d G V t P j x J d G V t P j x J d G V t T G 9 j Y X R p b 2 4 + P E l 0 Z W 1 U e X B l P k Z v c m 1 1 b G E 8 L 0 l 0 Z W 1 U e X B l P j x J d G V t U G F 0 a D 5 T Z W N 0 a W 9 u M S 9 M S i 9 O Y W 1 l b i U y M H Z h b i U y M G t v b G 9 t b W V u J T I w Z 2 V 3 a W p 6 a W d k M z w v S X R l b V B h d G g + P C 9 J d G V t T G 9 j Y X R p b 2 4 + P F N 0 Y W J s Z U V u d H J p Z X M g L z 4 8 L 0 l 0 Z W 0 + P E l 0 Z W 0 + P E l 0 Z W 1 M b 2 N h d G l v b j 4 8 S X R l b V R 5 c G U + R m 9 y b X V s Y T w v S X R l b V R 5 c G U + P E l 0 Z W 1 Q Y X R o P l N l Y 3 R p b 2 4 x L 0 x K L 1 d h Y X J k Z S U y M H Z l c n Z h b m d l b j Y 8 L 0 l 0 Z W 1 Q Y X R o P j w v S X R l b U x v Y 2 F 0 a W 9 u P j x T d G F i b G V F b n R y a W V z I C 8 + P C 9 J d G V t P j x J d G V t P j x J d G V t T G 9 j Y X R p b 2 4 + P E l 0 Z W 1 U e X B l P k Z v c m 1 1 b G E 8 L 0 l 0 Z W 1 U e X B l P j x J d G V t U G F 0 a D 5 T Z W N 0 a W 9 u M S 9 M S i 9 O Y W 1 l b i U y M H Z h b i U y M G t v b G 9 t b W V u J T I w Z 2 V 3 a W p 6 a W d k N D w v S X R l b V B h d G g + P C 9 J d G V t T G 9 j Y X R p b 2 4 + P F N 0 Y W J s Z U V u d H J p Z X M g L z 4 8 L 0 l 0 Z W 0 + P E l 0 Z W 0 + P E l 0 Z W 1 M b 2 N h d G l v b j 4 8 S X R l b V R 5 c G U + R m 9 y b X V s Y T w v S X R l b V R 5 c G U + P E l 0 Z W 1 Q Y X R o P l N l Y 3 R p b 2 4 x L 0 x K L 1 d h Y X J k Z S U y M H Z l c n Z h b m d l b j c 8 L 0 l 0 Z W 1 Q Y X R o P j w v S X R l b U x v Y 2 F 0 a W 9 u P j x T d G F i b G V F b n R y a W V z I C 8 + P C 9 J d G V t P j x J d G V t P j x J d G V t T G 9 j Y X R p b 2 4 + P E l 0 Z W 1 U e X B l P k Z v c m 1 1 b G E 8 L 0 l 0 Z W 1 U e X B l P j x J d G V t U G F 0 a D 5 T Z W N 0 a W 9 u M S 9 M S i 9 X Y W F y Z G U l M j B 2 Z X J 2 Y W 5 n Z W 4 4 P C 9 J d G V t U G F 0 a D 4 8 L 0 l 0 Z W 1 M b 2 N h d G l v b j 4 8 U 3 R h Y m x l R W 5 0 c m l l c y A v P j w v S X R l b T 4 8 S X R l b T 4 8 S X R l b U x v Y 2 F 0 a W 9 u P j x J d G V t V H l w Z T 5 G b 3 J t d W x h P C 9 J d G V t V H l w Z T 4 8 S X R l b V B h d G g + U 2 V j d G l v b j E v T E o v V 2 F h c m R l J T I w d m V y d m F u Z 2 V u O T w v S X R l b V B h d G g + P C 9 J d G V t T G 9 j Y X R p b 2 4 + P F N 0 Y W J s Z U V u d H J p Z X M g L z 4 8 L 0 l 0 Z W 0 + P E l 0 Z W 0 + P E l 0 Z W 1 M b 2 N h d G l v b j 4 8 S X R l b V R 5 c G U + R m 9 y b X V s Y T w v S X R l b V R 5 c G U + P E l 0 Z W 1 Q Y X R o P l N l Y 3 R p b 2 4 x L 0 x K L 0 5 h b W V u J T I w d m F u J T I w a 2 9 s b 2 1 t Z W 4 l M j B n Z X d p a n p p Z 2 Q 1 P C 9 J d G V t U G F 0 a D 4 8 L 0 l 0 Z W 1 M b 2 N h d G l v b j 4 8 U 3 R h Y m x l R W 5 0 c m l l c y A v P j w v S X R l b T 4 8 S X R l b T 4 8 S X R l b U x v Y 2 F 0 a W 9 u P j x J d G V t V H l w Z T 5 G b 3 J t d W x h P C 9 J d G V t V H l w Z T 4 8 S X R l b V B h d G g + U 2 V j d G l v b j E v T E o v V 2 F h c m R l J T I w d m V y d m F u Z 2 V u M j E 8 L 0 l 0 Z W 1 Q Y X R o P j w v S X R l b U x v Y 2 F 0 a W 9 u P j x T d G F i b G V F b n R y a W V z I C 8 + P C 9 J d G V t P j x J d G V t P j x J d G V t T G 9 j Y X R p b 2 4 + P E l 0 Z W 1 U e X B l P k Z v c m 1 1 b G E 8 L 0 l 0 Z W 1 U e X B l P j x J d G V t U G F 0 a D 5 T Z W N 0 a W 9 u M S 9 M S i 9 X Y W F y Z G U l M j B 2 Z X J 2 Y W 5 n Z W 4 y M j w v S X R l b V B h d G g + P C 9 J d G V t T G 9 j Y X R p b 2 4 + P F N 0 Y W J s Z U V u d H J p Z X M g L z 4 8 L 0 l 0 Z W 0 + P E l 0 Z W 0 + P E l 0 Z W 1 M b 2 N h d G l v b j 4 8 S X R l b V R 5 c G U + R m 9 y b X V s Y T w v S X R l b V R 5 c G U + P E l 0 Z W 1 Q Y X R o P l N l Y 3 R p b 2 4 x L 0 x K L 1 d h Y X J k Z S U y M H Z l c n Z h b m d l b j I z P C 9 J d G V t U G F 0 a D 4 8 L 0 l 0 Z W 1 M b 2 N h d G l v b j 4 8 U 3 R h Y m x l R W 5 0 c m l l c y A v P j w v S X R l b T 4 8 S X R l b T 4 8 S X R l b U x v Y 2 F 0 a W 9 u P j x J d G V t V H l w Z T 5 G b 3 J t d W x h P C 9 J d G V t V H l w Z T 4 8 S X R l b V B h d G g + U 2 V j d G l v b j E v T E o v V 2 F h c m R l J T I w d m V y d m F u Z 2 V u M j Q 8 L 0 l 0 Z W 1 Q Y X R o P j w v S X R l b U x v Y 2 F 0 a W 9 u P j x T d G F i b G V F b n R y a W V z I C 8 + P C 9 J d G V t P j x J d G V t P j x J d G V t T G 9 j Y X R p b 2 4 + P E l 0 Z W 1 U e X B l P k Z v c m 1 1 b G E 8 L 0 l 0 Z W 1 U e X B l P j x J d G V t U G F 0 a D 5 T Z W N 0 a W 9 u M S 9 M S i 9 X Y W F y Z G U l M j B 2 Z X J 2 Y W 5 n Z W 4 y N T w v S X R l b V B h d G g + P C 9 J d G V t T G 9 j Y X R p b 2 4 + P F N 0 Y W J s Z U V u d H J p Z X M g L z 4 8 L 0 l 0 Z W 0 + P E l 0 Z W 0 + P E l 0 Z W 1 M b 2 N h d G l v b j 4 8 S X R l b V R 5 c G U + R m 9 y b X V s Y T w v S X R l b V R 5 c G U + P E l 0 Z W 1 Q Y X R o P l N l Y 3 R p b 2 4 x L 0 x K L 0 5 h b W V u J T I w d m F u J T I w a 2 9 s b 2 1 t Z W 4 l M j B n Z X d p a n p p Z 2 Q x M T w v S X R l b V B h d G g + P C 9 J d G V t T G 9 j Y X R p b 2 4 + P F N 0 Y W J s Z U V u d H J p Z X M g L z 4 8 L 0 l 0 Z W 0 + P E l 0 Z W 0 + P E l 0 Z W 1 M b 2 N h d G l v b j 4 8 S X R l b V R 5 c G U + R m 9 y b X V s Y T w v S X R l b V R 5 c G U + P E l 0 Z W 1 Q Y X R o P l N l Y 3 R p b 2 4 x L 0 x K L 1 d h Y X J k Z S U y M H Z l c n Z h b m d l b j I 2 P C 9 J d G V t U G F 0 a D 4 8 L 0 l 0 Z W 1 M b 2 N h d G l v b j 4 8 U 3 R h Y m x l R W 5 0 c m l l c y A v P j w v S X R l b T 4 8 S X R l b T 4 8 S X R l b U x v Y 2 F 0 a W 9 u P j x J d G V t V H l w Z T 5 G b 3 J t d W x h P C 9 J d G V t V H l w Z T 4 8 S X R l b V B h d G g + U 2 V j d G l v b j E v T E o v V 2 F h c m R l J T I w d m V y d m F u Z 2 V u M j c 8 L 0 l 0 Z W 1 Q Y X R o P j w v S X R l b U x v Y 2 F 0 a W 9 u P j x T d G F i b G V F b n R y a W V z I C 8 + P C 9 J d G V t P j x J d G V t P j x J d G V t T G 9 j Y X R p b 2 4 + P E l 0 Z W 1 U e X B l P k Z v c m 1 1 b G E 8 L 0 l 0 Z W 1 U e X B l P j x J d G V t U G F 0 a D 5 T Z W N 0 a W 9 u M S 9 M S i 9 O Y W 1 l b i U y M H Z h b i U y M G t v b G 9 t b W V u J T I w Z 2 V 3 a W p 6 a W d k M T I 8 L 0 l 0 Z W 1 Q Y X R o P j w v S X R l b U x v Y 2 F 0 a W 9 u P j x T d G F i b G V F b n R y a W V z I C 8 + P C 9 J d G V t P j x J d G V t P j x J d G V t T G 9 j Y X R p b 2 4 + P E l 0 Z W 1 U e X B l P k Z v c m 1 1 b G E 8 L 0 l 0 Z W 1 U e X B l P j x J d G V t U G F 0 a D 5 T Z W N 0 a W 9 u M S 9 M S i 9 X Y W F y Z G U l M j B 2 Z X J 2 Y W 5 n Z W 4 y O D w v S X R l b V B h d G g + P C 9 J d G V t T G 9 j Y X R p b 2 4 + P F N 0 Y W J s Z U V u d H J p Z X M g L z 4 8 L 0 l 0 Z W 0 + P E l 0 Z W 0 + P E l 0 Z W 1 M b 2 N h d G l v b j 4 8 S X R l b V R 5 c G U + R m 9 y b X V s Y T w v S X R l b V R 5 c G U + P E l 0 Z W 1 Q Y X R o P l N l Y 3 R p b 2 4 x L 0 x K L 1 d h Y X J k Z S U y M H Z l c n Z h b m d l b j I 5 P C 9 J d G V t U G F 0 a D 4 8 L 0 l 0 Z W 1 M b 2 N h d G l v b j 4 8 U 3 R h Y m x l R W 5 0 c m l l c y A v P j w v S X R l b T 4 8 S X R l b T 4 8 S X R l b U x v Y 2 F 0 a W 9 u P j x J d G V t V H l w Z T 5 G b 3 J t d W x h P C 9 J d G V t V H l w Z T 4 8 S X R l b V B h d G g + U 2 V j d G l v b j E v T E o v T m F t Z W 4 l M j B 2 Y W 4 l M j B r b 2 x v b W 1 l b i U y M G d l d 2 l q e m l n Z D E z P C 9 J d G V t U G F 0 a D 4 8 L 0 l 0 Z W 1 M b 2 N h d G l v b j 4 8 U 3 R h Y m x l R W 5 0 c m l l c y A v P j w v S X R l b T 4 8 S X R l b T 4 8 S X R l b U x v Y 2 F 0 a W 9 u P j x J d G V t V H l w Z T 5 G b 3 J t d W x h P C 9 J d G V t V H l w Z T 4 8 S X R l b V B h d G g + U 2 V j d G l v b j E v T E o v V m 9 s Z 2 9 y Z G U l M j B 2 Y W 4 l M j B r b 2 x v b W 1 l b i U y M G d l d 2 l q e m l n Z D E 8 L 0 l 0 Z W 1 Q Y X R o P j w v S X R l b U x v Y 2 F 0 a W 9 u P j x T d G F i b G V F b n R y a W V z I C 8 + P C 9 J d G V t P j x J d G V t P j x J d G V t T G 9 j Y X R p b 2 4 + P E l 0 Z W 1 U e X B l P k Z v c m 1 1 b G E 8 L 0 l 0 Z W 1 U e X B l P j x J d G V t U G F 0 a D 5 T Z W N 0 a W 9 u M S 9 M S i 9 X Y W F y Z G U l M j B 2 Z X J 2 Y W 5 n Z W 4 z M D w v S X R l b V B h d G g + P C 9 J d G V t T G 9 j Y X R p b 2 4 + P F N 0 Y W J s Z U V u d H J p Z X M g L z 4 8 L 0 l 0 Z W 0 + P E l 0 Z W 0 + P E l 0 Z W 1 M b 2 N h d G l v b j 4 8 S X R l b V R 5 c G U + R m 9 y b X V s Y T w v S X R l b V R 5 c G U + P E l 0 Z W 1 Q Y X R o P l N l Y 3 R p b 2 4 x L 0 x K L 1 d h Y X J k Z S U y M H Z l c n Z h b m d l b j M x P C 9 J d G V t U G F 0 a D 4 8 L 0 l 0 Z W 1 M b 2 N h d G l v b j 4 8 U 3 R h Y m x l R W 5 0 c m l l c y A v P j w v S X R l b T 4 8 S X R l b T 4 8 S X R l b U x v Y 2 F 0 a W 9 u P j x J d G V t V H l w Z T 5 G b 3 J t d W x h P C 9 J d G V t V H l w Z T 4 8 S X R l b V B h d G g + U 2 V j d G l v b j E v T E o v T m F t Z W 4 l M j B 2 Y W 4 l M j B r b 2 x v b W 1 l b i U y M G d l d 2 l q e m l n Z D E 0 P C 9 J d G V t U G F 0 a D 4 8 L 0 l 0 Z W 1 M b 2 N h d G l v b j 4 8 U 3 R h Y m x l R W 5 0 c m l l c y A v P j w v S X R l b T 4 8 S X R l b T 4 8 S X R l b U x v Y 2 F 0 a W 9 u P j x J d G V t V H l w Z T 5 G b 3 J t d W x h P C 9 J d G V t V H l w Z T 4 8 S X R l b V B h d G g + U 2 V j d G l v b j E v T E o v V m 9 s Z 2 9 y Z G U l M j B 2 Y W 4 l M j B r b 2 x v b W 1 l b i U y M G d l d 2 l q e m l n Z D I 8 L 0 l 0 Z W 1 Q Y X R o P j w v S X R l b U x v Y 2 F 0 a W 9 u P j x T d G F i b G V F b n R y a W V z I C 8 + P C 9 J d G V t P j x J d G V t P j x J d G V t T G 9 j Y X R p b 2 4 + P E l 0 Z W 1 U e X B l P k Z v c m 1 1 b G E 8 L 0 l 0 Z W 1 U e X B l P j x J d G V t U G F 0 a D 5 T Z W N 0 a W 9 u M S 9 M S i 9 O Y W 1 l b i U y M H Z h b i U y M G t v b G 9 t b W V u J T I w Z 2 V 3 a W p 6 a W d k M T U 8 L 0 l 0 Z W 1 Q Y X R o P j w v S X R l b U x v Y 2 F 0 a W 9 u P j x T d G F i b G V F b n R y a W V z I C 8 + P C 9 J d G V t P j x J d G V t P j x J d G V t T G 9 j Y X R p b 2 4 + P E l 0 Z W 1 U e X B l P k Z v c m 1 1 b G E 8 L 0 l 0 Z W 1 U e X B l P j x J d G V t U G F 0 a D 5 T Z W N 0 a W 9 u M S 9 M S i 9 X Y W F y Z G U l M j B 2 Z X J 2 Y W 5 n Z W 4 z M j w v S X R l b V B h d G g + P C 9 J d G V t T G 9 j Y X R p b 2 4 + P F N 0 Y W J s Z U V u d H J p Z X M g L z 4 8 L 0 l 0 Z W 0 + P E l 0 Z W 0 + P E l 0 Z W 1 M b 2 N h d G l v b j 4 8 S X R l b V R 5 c G U + R m 9 y b X V s Y T w v S X R l b V R 5 c G U + P E l 0 Z W 1 Q Y X R o P l N l Y 3 R p b 2 4 x L 0 x K L 1 d h Y X J k Z S U y M H Z l c n Z h b m d l b j M z P C 9 J d G V t U G F 0 a D 4 8 L 0 l 0 Z W 1 M b 2 N h d G l v b j 4 8 U 3 R h Y m x l R W 5 0 c m l l c y A v P j w v S X R l b T 4 8 S X R l b T 4 8 S X R l b U x v Y 2 F 0 a W 9 u P j x J d G V t V H l w Z T 5 G b 3 J t d W x h P C 9 J d G V t V H l w Z T 4 8 S X R l b V B h d G g + U 2 V j d G l v b j E v T E o v T m F t Z W 4 l M j B 2 Y W 4 l M j B r b 2 x v b W 1 l b i U y M G d l d 2 l q e m l n Z D E 2 P C 9 J d G V t U G F 0 a D 4 8 L 0 l 0 Z W 1 M b 2 N h d G l v b j 4 8 U 3 R h Y m x l R W 5 0 c m l l c y A v P j w v S X R l b T 4 8 S X R l b T 4 8 S X R l b U x v Y 2 F 0 a W 9 u P j x J d G V t V H l w Z T 5 G b 3 J t d W x h P C 9 J d G V t V H l w Z T 4 8 S X R l b V B h d G g + U 2 V j d G l v b j E v T E o v V 2 F h c m R l J T I w d m V y d m F u Z 2 V u M z Q 8 L 0 l 0 Z W 1 Q Y X R o P j w v S X R l b U x v Y 2 F 0 a W 9 u P j x T d G F i b G V F b n R y a W V z I C 8 + P C 9 J d G V t P j x J d G V t P j x J d G V t T G 9 j Y X R p b 2 4 + P E l 0 Z W 1 U e X B l P k Z v c m 1 1 b G E 8 L 0 l 0 Z W 1 U e X B l P j x J d G V t U G F 0 a D 5 T Z W N 0 a W 9 u M S 9 M S i 9 X Y W F y Z G U l M j B 2 Z X J 2 Y W 5 n Z W 4 z N T w v S X R l b V B h d G g + P C 9 J d G V t T G 9 j Y X R p b 2 4 + P F N 0 Y W J s Z U V u d H J p Z X M g L z 4 8 L 0 l 0 Z W 0 + P E l 0 Z W 0 + P E l 0 Z W 1 M b 2 N h d G l v b j 4 8 S X R l b V R 5 c G U + R m 9 y b X V s Y T w v S X R l b V R 5 c G U + P E l 0 Z W 1 Q Y X R o P l N l Y 3 R p b 2 4 x L 0 x K L 0 5 h b W V u J T I w d m F u J T I w a 2 9 s b 2 1 t Z W 4 l M j B n Z X d p a n p p Z 2 Q x N z w v S X R l b V B h d G g + P C 9 J d G V t T G 9 j Y X R p b 2 4 + P F N 0 Y W J s Z U V u d H J p Z X M g L z 4 8 L 0 l 0 Z W 0 + P E l 0 Z W 0 + P E l 0 Z W 1 M b 2 N h d G l v b j 4 8 S X R l b V R 5 c G U + R m 9 y b X V s Y T w v S X R l b V R 5 c G U + P E l 0 Z W 1 Q Y X R o P l N l Y 3 R p b 2 4 x L 0 x K L 1 d h Y X J k Z S U y M H Z l c n Z h b m d l b j M 2 P C 9 J d G V t U G F 0 a D 4 8 L 0 l 0 Z W 1 M b 2 N h d G l v b j 4 8 U 3 R h Y m x l R W 5 0 c m l l c y A v P j w v S X R l b T 4 8 S X R l b T 4 8 S X R l b U x v Y 2 F 0 a W 9 u P j x J d G V t V H l w Z T 5 G b 3 J t d W x h P C 9 J d G V t V H l w Z T 4 8 S X R l b V B h d G g + U 2 V j d G l v b j E v T E o v V 2 F h c m R l J T I w d m V y d m F u Z 2 V u M z c 8 L 0 l 0 Z W 1 Q Y X R o P j w v S X R l b U x v Y 2 F 0 a W 9 u P j x T d G F i b G V F b n R y a W V z I C 8 + P C 9 J d G V t P j x J d G V t P j x J d G V t T G 9 j Y X R p b 2 4 + P E l 0 Z W 1 U e X B l P k Z v c m 1 1 b G E 8 L 0 l 0 Z W 1 U e X B l P j x J d G V t U G F 0 a D 5 T Z W N 0 a W 9 u M S 9 M S i 9 X Y W F y Z G U l M j B 2 Z X J 2 Y W 5 n Z W 4 z O D w v S X R l b V B h d G g + P C 9 J d G V t T G 9 j Y X R p b 2 4 + P F N 0 Y W J s Z U V u d H J p Z X M g L z 4 8 L 0 l 0 Z W 0 + P E l 0 Z W 0 + P E l 0 Z W 1 M b 2 N h d G l v b j 4 8 S X R l b V R 5 c G U + R m 9 y b X V s Y T w v S X R l b V R 5 c G U + P E l 0 Z W 1 Q Y X R o P l N l Y 3 R p b 2 4 x L 0 x K L 0 t v b G 9 t b W V u J T I w c 2 F t Z W 5 n Z X Z v Z W d k P C 9 J d G V t U G F 0 a D 4 8 L 0 l 0 Z W 1 M b 2 N h d G l v b j 4 8 U 3 R h Y m x l R W 5 0 c m l l c y A v P j w v S X R l b T 4 8 S X R l b T 4 8 S X R l b U x v Y 2 F 0 a W 9 u P j x J d G V t V H l w Z T 5 G b 3 J t d W x h P C 9 J d G V t V H l w Z T 4 8 S X R l b V B h d G g + U 2 V j d G l v b j E v T E o v S 2 9 s b 2 1 t Z W 4 l M j B z Y W 1 l b m d l d m 9 l Z 2 Q x P C 9 J d G V t U G F 0 a D 4 8 L 0 l 0 Z W 1 M b 2 N h d G l v b j 4 8 U 3 R h Y m x l R W 5 0 c m l l c y A v P j w v S X R l b T 4 8 S X R l b T 4 8 S X R l b U x v Y 2 F 0 a W 9 u P j x J d G V t V H l w Z T 5 G b 3 J t d W x h P C 9 J d G V t V H l w Z T 4 8 S X R l b V B h d G g + U 2 V j d G l v b j E v T E o v S 2 9 s b 2 1 t Z W 4 l M j B z Y W 1 l b m d l d m 9 l Z 2 Q y P C 9 J d G V t U G F 0 a D 4 8 L 0 l 0 Z W 1 M b 2 N h d G l v b j 4 8 U 3 R h Y m x l R W 5 0 c m l l c y A v P j w v S X R l b T 4 8 S X R l b T 4 8 S X R l b U x v Y 2 F 0 a W 9 u P j x J d G V t V H l w Z T 5 G b 3 J t d W x h P C 9 J d G V t V H l w Z T 4 8 S X R l b V B h d G g + U 2 V j d G l v b j E v T E o v V 2 F h c m R l J T I w d m V y d m F u Z 2 V u M z k 8 L 0 l 0 Z W 1 Q Y X R o P j w v S X R l b U x v Y 2 F 0 a W 9 u P j x T d G F i b G V F b n R y a W V z I C 8 + P C 9 J d G V t P j x J d G V t P j x J d G V t T G 9 j Y X R p b 2 4 + P E l 0 Z W 1 U e X B l P k Z v c m 1 1 b G E 8 L 0 l 0 Z W 1 U e X B l P j x J d G V t U G F 0 a D 5 T Z W N 0 a W 9 u M S 9 M S i 9 O Y W 1 l b i U y M H Z h b i U y M G t v b G 9 t b W V u J T I w Z 2 V 3 a W p 6 a W d k M T k 8 L 0 l 0 Z W 1 Q Y X R o P j w v S X R l b U x v Y 2 F 0 a W 9 u P j x T d G F i b G V F b n R y a W V z I C 8 + P C 9 J d G V t P j x J d G V t P j x J d G V t T G 9 j Y X R p b 2 4 + P E l 0 Z W 1 U e X B l P k Z v c m 1 1 b G E 8 L 0 l 0 Z W 1 U e X B l P j x J d G V t U G F 0 a D 5 T Z W N 0 a W 9 u M S 9 M S i 9 X Y W F y Z G U l M j B 2 Z X J 2 Y W 5 n Z W 4 0 M D w v S X R l b V B h d G g + P C 9 J d G V t T G 9 j Y X R p b 2 4 + P F N 0 Y W J s Z U V u d H J p Z X M g L z 4 8 L 0 l 0 Z W 0 + P E l 0 Z W 0 + P E l 0 Z W 1 M b 2 N h d G l v b j 4 8 S X R l b V R 5 c G U + R m 9 y b X V s Y T w v S X R l b V R 5 c G U + P E l 0 Z W 1 Q Y X R o P l N l Y 3 R p b 2 4 x L 0 x K L 1 R 5 c G U l M j B n Z X d p a n p p Z 2 Q x P C 9 J d G V t U G F 0 a D 4 8 L 0 l 0 Z W 1 M b 2 N h d G l v b j 4 8 U 3 R h Y m x l R W 5 0 c m l l c y A v P j w v S X R l b T 4 8 S X R l b T 4 8 S X R l b U x v Y 2 F 0 a W 9 u P j x J d G V t V H l w Z T 5 G b 3 J t d W x h P C 9 J d G V t V H l w Z T 4 8 S X R l b V B h d G g + U 2 V j d G l v b j E v T E o v U m l q Z W 4 l M j B n Z X N v c n R l Z X J k P C 9 J d G V t U G F 0 a D 4 8 L 0 l 0 Z W 1 M b 2 N h d G l v b j 4 8 U 3 R h Y m x l R W 5 0 c m l l c y A v P j w v S X R l b T 4 8 S X R l b T 4 8 S X R l b U x v Y 2 F 0 a W 9 u P j x J d G V t V H l w Z T 5 G b 3 J t d W x h P C 9 J d G V t V H l w Z T 4 8 S X R l b V B h d G g + U 2 V j d G l v b j E v S 0 R M L 1 d h Y X J k Z S U y M H Z l c n Z h b m d l b j Q x P C 9 J d G V t U G F 0 a D 4 8 L 0 l 0 Z W 1 M b 2 N h d G l v b j 4 8 U 3 R h Y m x l R W 5 0 c m l l c y A v P j w v S X R l b T 4 8 S X R l b T 4 8 S X R l b U x v Y 2 F 0 a W 9 u P j x J d G V t V H l w Z T 5 G b 3 J t d W x h P C 9 J d G V t V H l w Z T 4 8 S X R l b V B h d G g + U 2 V j d G l v b j E v S 0 R M L 1 d h Y X J k Z S U y M H Z l c n Z h b m d l b j Q y P C 9 J d G V t U G F 0 a D 4 8 L 0 l 0 Z W 1 M b 2 N h d G l v b j 4 8 U 3 R h Y m x l R W 5 0 c m l l c y A v P j w v S X R l b T 4 8 S X R l b T 4 8 S X R l b U x v Y 2 F 0 a W 9 u P j x J d G V t V H l w Z T 5 G b 3 J t d W x h P C 9 J d G V t V H l w Z T 4 8 S X R l b V B h d G g + U 2 V j d G l v b j E v S 0 R B L 1 d h Y X J k Z S U y M H Z l c n Z h b m d l b j Q y P C 9 J d G V t U G F 0 a D 4 8 L 0 l 0 Z W 1 M b 2 N h d G l v b j 4 8 U 3 R h Y m x l R W 5 0 c m l l c y A v P j w v S X R l b T 4 8 S X R l b T 4 8 S X R l b U x v Y 2 F 0 a W 9 u P j x J d G V t V H l w Z T 5 G b 3 J t d W x h P C 9 J d G V t V H l w Z T 4 8 S X R l b V B h d G g + U 2 V j d G l v b j E v S 0 R B L 1 d h Y X J k Z S U y M H Z l c n Z h b m d l b j Q x P C 9 J d G V t U G F 0 a D 4 8 L 0 l 0 Z W 1 M b 2 N h d G l v b j 4 8 U 3 R h Y m x l R W 5 0 c m l l c y A v P j w v S X R l b T 4 8 S X R l b T 4 8 S X R l b U x v Y 2 F 0 a W 9 u P j x J d G V t V H l w Z T 5 G b 3 J t d W x h P C 9 J d G V t V H l w Z T 4 8 S X R l b V B h d G g + U 2 V j d G l v b j E v S 0 R S d k 5 C L 1 d h Y X J k Z S U y M H Z l c n Z h b m d l b j Q x P C 9 J d G V t U G F 0 a D 4 8 L 0 l 0 Z W 1 M b 2 N h d G l v b j 4 8 U 3 R h Y m x l R W 5 0 c m l l c y A v P j w v S X R l b T 4 8 S X R l b T 4 8 S X R l b U x v Y 2 F 0 a W 9 u P j x J d G V t V H l w Z T 5 G b 3 J t d W x h P C 9 J d G V t V H l w Z T 4 8 S X R l b V B h d G g + U 2 V j d G l v b j E v S 0 R S d k 5 C L 1 d h Y X J k Z S U y M H Z l c n Z h b m d l b j Q y P C 9 J d G V t U G F 0 a D 4 8 L 0 l 0 Z W 1 M b 2 N h d G l v b j 4 8 U 3 R h Y m x l R W 5 0 c m l l c y A v P j w v S X R l b T 4 8 S X R l b T 4 8 S X R l b U x v Y 2 F 0 a W 9 u P j x J d G V t V H l w Z T 5 G b 3 J t d W x h P C 9 J d G V t V H l w Z T 4 8 S X R l b V B h d G g + U 2 V j d G l v b j E v T E o v V 2 F h c m R l J T I w d m V y d m F u Z 2 V u N D E 8 L 0 l 0 Z W 1 Q Y X R o P j w v S X R l b U x v Y 2 F 0 a W 9 u P j x T d G F i b G V F b n R y a W V z I C 8 + P C 9 J d G V t P j x J d G V t P j x J d G V t T G 9 j Y X R p b 2 4 + P E l 0 Z W 1 U e X B l P k Z v c m 1 1 b G E 8 L 0 l 0 Z W 1 U e X B l P j x J d G V t U G F 0 a D 5 T Z W N 0 a W 9 u M S 9 M S i 9 X Y W F y Z G U l M j B 2 Z X J 2 Y W 5 n Z W 4 0 M j w v S X R l b V B h d G g + P C 9 J d G V t T G 9 j Y X R p b 2 4 + P F N 0 Y W J s Z U V u d H J p Z X M g L z 4 8 L 0 l 0 Z W 0 + P E l 0 Z W 0 + P E l 0 Z W 1 M b 2 N h d G l v b j 4 8 S X R l b V R 5 c G U + R m 9 y b X V s Y T w v S X R l b V R 5 c G U + P E l 0 Z W 1 Q Y X R o P l N l Y 3 R p b 2 4 x L 0 Z T R C 9 X Y W F y Z G U l M j B 2 Z X J 2 Y W 5 n Z W 4 0 M T w v S X R l b V B h d G g + P C 9 J d G V t T G 9 j Y X R p b 2 4 + P F N 0 Y W J s Z U V u d H J p Z X M g L z 4 8 L 0 l 0 Z W 0 + P E l 0 Z W 0 + P E l 0 Z W 1 M b 2 N h d G l v b j 4 8 S X R l b V R 5 c G U + R m 9 y b X V s Y T w v S X R l b V R 5 c G U + P E l 0 Z W 1 Q Y X R o P l N l Y 3 R p b 2 4 x L 0 Z T R C 9 X Y W F y Z G U l M j B 2 Z X J 2 Y W 5 n Z W 4 0 M j w v S X R l b V B h d G g + P C 9 J d G V t T G 9 j Y X R p b 2 4 + P F N 0 Y W J s Z U V u d H J p Z X M g L z 4 8 L 0 l 0 Z W 0 + P E l 0 Z W 0 + P E l 0 Z W 1 M b 2 N h d G l v b j 4 8 S X R l b V R 5 c G U + R m 9 y b X V s Y T w v S X R l b V R 5 c G U + P E l 0 Z W 1 Q Y X R o P l N l Y 3 R p b 2 4 x L 0 t E T S 9 X Y W F y Z G U l M j B 2 Z X J 2 Y W 5 n Z W 4 0 M T w v S X R l b V B h d G g + P C 9 J d G V t T G 9 j Y X R p b 2 4 + P F N 0 Y W J s Z U V u d H J p Z X M g L z 4 8 L 0 l 0 Z W 0 + P E l 0 Z W 0 + P E l 0 Z W 1 M b 2 N h d G l v b j 4 8 S X R l b V R 5 c G U + R m 9 y b X V s Y T w v S X R l b V R 5 c G U + P E l 0 Z W 1 Q Y X R o P l N l Y 3 R p b 2 4 x L 0 t E T S 9 X Y W F y Z G U l M j B 2 Z X J 2 Y W 5 n Z W 4 0 M j w v S X R l b V B h d G g + P C 9 J d G V t T G 9 j Y X R p b 2 4 + P F N 0 Y W J s Z U V u d H J p Z X M g L z 4 8 L 0 l 0 Z W 0 + P E l 0 Z W 0 + P E l 0 Z W 1 M b 2 N h d G l v b j 4 8 S X R l b V R 5 c G U + R m 9 y b X V s Y T w v S X R l b V R 5 c G U + P E l 0 Z W 1 Q Y X R o P l N l Y 3 R p b 2 4 x L 0 J p Z W x l b W F u d H J l Z m Z l b i 9 X Y W F y Z G U l M j B 2 Z X J 2 Y W 5 n Z W 4 8 L 0 l 0 Z W 1 Q Y X R o P j w v S X R l b U x v Y 2 F 0 a W 9 u P j x T d G F i b G V F b n R y a W V z I C 8 + P C 9 J d G V t P j x J d G V t P j x J d G V t T G 9 j Y X R p b 2 4 + P E l 0 Z W 1 U e X B l P k F s b E Z v c m 1 1 b G F z P C 9 J d G V t V H l w Z T 4 8 S X R l b V B h d G g g L z 4 8 L 0 l 0 Z W 1 M b 2 N h d G l v b j 4 8 U 3 R h Y m x l R W 5 0 c m l l c z 4 8 R W 5 0 c n k g V H l w Z T 0 i U X V l c n l H c m 9 1 c H M i I F Z h b H V l P S J z Q k F B Q U F B Q U F B Q U N P N U Q x U U k 0 M 2 5 S c X g 1 V W 0 w a G J z M W x M V U p s Y z N S a G J t U W d k b U Z 1 S U V K c F p X e G x i V 0 Z 1 Z E h K b F p t W m x i a U F v T W l r Z 2 R I S m h i b k 5 t Y j N K d F p Y S m x i Z 0 F B Q U F B Q U F B Q U F B Q U N M Q z R U R z V s O H d T b 0 d y e F l m c m d r Z X B E a 2 h s Y k h C b G N p M X h k V 1 Z 5 Z V N k e k F B R 0 8 1 R D F R S T Q z b l J x e D V V b T B o Y n M x b E F B Q U F B Q U F B Q U F E O V N s Z 2 8 1 R 1 Q w U W 9 L Q i s 3 a U 9 J e k Y x S 1 V K b G M z U m h i b V F n Z G 1 G d U l F S n B a V 3 h s Y l d G d W R I S m x a b V p s Y m l C M G N t R n V j M l p 2 Y 2 0 x b G N t V n V B Q U F D Q U F B Q U F B Q U F B R X V n V G p M b 1 d k a E R s Y 2 U x W m 1 E V W 8 x Y 0 9 T R 1 Z z Y 0 d W e U x Y R j F a W E o 1 S j N N Q U F m M U t X Q 2 p r W l B S Q 2 d v S D d 1 S T R q T V h V Q U F B Q U E i I C 8 + P E V u d H J 5 I F R 5 c G U 9 I l J l b G F 0 a W 9 u c 2 h p c H M i I F Z h b H V l P S J z Q U F B Q U F B P T 0 i I C 8 + P E V u d H J 5 I F R 5 c G U 9 I k l z V H l w Z U R l d G V j d G l v b k V u Y W J s Z W Q i I F Z h b H V l P S J z V H J 1 Z S I g L z 4 8 L 1 N 0 Y W J s Z U V u d H J p Z X M + P C 9 J d G V t P j x J d G V t P j x J d G V t T G 9 j Y X R p b 2 4 + P E l 0 Z W 1 U e X B l P k Z v c m 1 1 b G E 8 L 0 l 0 Z W 1 U e X B l P j x J d G V t U G F 0 a D 5 T Z W N 0 a W 9 u M S 9 H S 1 Z J L 1 R 5 c G U l M j B n Z X d p a n p p Z 2 Q 8 L 0 l 0 Z W 1 Q Y X R o P j w v S X R l b U x v Y 2 F 0 a W 9 u P j x T d G F i b G V F b n R y a W V z I C 8 + P C 9 J d G V t P j x J d G V t P j x J d G V t T G 9 j Y X R p b 2 4 + P E l 0 Z W 1 U e X B l P k Z v c m 1 1 b G E 8 L 0 l 0 Z W 1 U e X B l P j x J d G V t U G F 0 a D 5 T Z W N 0 a W 9 u M S 9 L R E 0 v V H l w Z S U y M G d l d 2 l q e m l n Z D w v S X R l b V B h d G g + P C 9 J d G V t T G 9 j Y X R p b 2 4 + P F N 0 Y W J s Z U V u d H J p Z X M g L z 4 8 L 0 l 0 Z W 0 + P E l 0 Z W 0 + P E l 0 Z W 1 M b 2 N h d G l v b j 4 8 S X R l b V R 5 c G U + R m 9 y b X V s Y T w v S X R l b V R 5 c G U + P E l 0 Z W 1 Q Y X R o P l N l Y 3 R p b 2 4 x L 0 t E T S 9 O Y W 1 l b i U y M H Z h b i U y M G t v b G 9 t b W V u J T I w Z 2 V 3 a W p 6 a W d k M T g 8 L 0 l 0 Z W 1 Q Y X R o P j w v S X R l b U x v Y 2 F 0 a W 9 u P j x T d G F i b G V F b n R y a W V z I C 8 + P C 9 J d G V t P j x J d G V t P j x J d G V t T G 9 j Y X R p b 2 4 + P E l 0 Z W 1 U e X B l P k Z v c m 1 1 b G E 8 L 0 l 0 Z W 1 U e X B l P j x J d G V t U G F 0 a D 5 T Z W N 0 a W 9 u M S 9 L R E E v T m F t Z W 4 l M j B 2 Y W 4 l M j B r b 2 x v b W 1 l b i U y M G d l d 2 l q e m l n Z D E 4 P C 9 J d G V t U G F 0 a D 4 8 L 0 l 0 Z W 1 M b 2 N h d G l v b j 4 8 U 3 R h Y m x l R W 5 0 c m l l c y A v P j w v S X R l b T 4 8 S X R l b T 4 8 S X R l b U x v Y 2 F 0 a W 9 u P j x J d G V t V H l w Z T 5 G b 3 J t d W x h P C 9 J d G V t V H l w Z T 4 8 S X R l b V B h d G g + U 2 V j d G l v b j E v S 0 R S d k 5 C L 0 5 h b W V u J T I w d m F u J T I w a 2 9 s b 2 1 t Z W 4 l M j B n Z X d p a n p p Z 2 Q x O D w v S X R l b V B h d G g + P C 9 J d G V t T G 9 j Y X R p b 2 4 + P F N 0 Y W J s Z U V u d H J p Z X M g L z 4 8 L 0 l 0 Z W 0 + P E l 0 Z W 0 + P E l 0 Z W 1 M b 2 N h d G l v b j 4 8 S X R l b V R 5 c G U + R m 9 y b X V s Y T w v S X R l b V R 5 c G U + P E l 0 Z W 1 Q Y X R o P l N l Y 3 R p b 2 4 x L 0 x K L 0 5 h b W V u J T I w d m F u J T I w a 2 9 s b 2 1 t Z W 4 l M j B n Z X d p a n p p Z 2 Q x O D w v S X R l b V B h d G g + P C 9 J d G V t T G 9 j Y X R p b 2 4 + P F N 0 Y W J s Z U V u d H J p Z X M g L z 4 8 L 0 l 0 Z W 0 + P E l 0 Z W 0 + P E l 0 Z W 1 M b 2 N h d G l v b j 4 8 S X R l b V R 5 c G U + R m 9 y b X V s Y T w v S X R l b V R 5 c G U + P E l 0 Z W 1 Q Y X R o P l N l Y 3 R p b 2 4 x L 0 Z T R C 9 O Y W 1 l b i U y M H Z h b i U y M G t v b G 9 t b W V u J T I w Z 2 V 3 a W p 6 a W d k M T g 8 L 0 l 0 Z W 1 Q Y X R o P j w v S X R l b U x v Y 2 F 0 a W 9 u P j x T d G F i b G V F b n R y a W V z I C 8 + P C 9 J d G V t P j x J d G V t P j x J d G V t T G 9 j Y X R p b 2 4 + P E l 0 Z W 1 U e X B l P k Z v c m 1 1 b G E 8 L 0 l 0 Z W 1 U e X B l P j x J d G V t U G F 0 a D 5 T Z W N 0 a W 9 u M S 9 L R E 0 v V H l w Z S U y M G d l d 2 l q e m l n Z D I 8 L 0 l 0 Z W 1 Q Y X R o P j w v S X R l b U x v Y 2 F 0 a W 9 u P j x T d G F i b G V F b n R y a W V z I C 8 + P C 9 J d G V t P j x J d G V t P j x J d G V t T G 9 j Y X R p b 2 4 + P E l 0 Z W 1 U e X B l P k Z v c m 1 1 b G E 8 L 0 l 0 Z W 1 U e X B l P j x J d G V t U G F 0 a D 5 T Z W N 0 a W 9 u M S 9 L R E w v V H l w Z S U y M G d l d 2 l q e m l n Z D I 8 L 0 l 0 Z W 1 Q Y X R o P j w v S X R l b U x v Y 2 F 0 a W 9 u P j x T d G F i b G V F b n R y a W V z I C 8 + P C 9 J d G V t P j x J d G V t P j x J d G V t T G 9 j Y X R p b 2 4 + P E l 0 Z W 1 U e X B l P k Z v c m 1 1 b G E 8 L 0 l 0 Z W 1 U e X B l P j x J d G V t U G F 0 a D 5 T Z W N 0 a W 9 u M S 9 L R E E v V H l w Z S U y M G d l d 2 l q e m l n Z D I 8 L 0 l 0 Z W 1 Q Y X R o P j w v S X R l b U x v Y 2 F 0 a W 9 u P j x T d G F i b G V F b n R y a W V z I C 8 + P C 9 J d G V t P j x J d G V t P j x J d G V t T G 9 j Y X R p b 2 4 + P E l 0 Z W 1 U e X B l P k Z v c m 1 1 b G E 8 L 0 l 0 Z W 1 U e X B l P j x J d G V t U G F 0 a D 5 T Z W N 0 a W 9 u M S 9 L R F J 2 T k I v V H l w Z S U y M G d l d 2 l q e m l n Z D I 8 L 0 l 0 Z W 1 Q Y X R o P j w v S X R l b U x v Y 2 F 0 a W 9 u P j x T d G F i b G V F b n R y a W V z I C 8 + P C 9 J d G V t P j x J d G V t P j x J d G V t T G 9 j Y X R p b 2 4 + P E l 0 Z W 1 U e X B l P k Z v c m 1 1 b G E 8 L 0 l 0 Z W 1 U e X B l P j x J d G V t U G F 0 a D 5 T Z W N 0 a W 9 u M S 9 M S i 9 U e X B l J T I w Z 2 V 3 a W p 6 a W d k M j w v S X R l b V B h d G g + P C 9 J d G V t T G 9 j Y X R p b 2 4 + P F N 0 Y W J s Z U V u d H J p Z X M g L z 4 8 L 0 l 0 Z W 0 + P E l 0 Z W 0 + P E l 0 Z W 1 M b 2 N h d G l v b j 4 8 S X R l b V R 5 c G U + R m 9 y b X V s Y T w v S X R l b V R 5 c G U + P E l 0 Z W 1 Q Y X R o P l N l Y 3 R p b 2 4 x L 0 Z T R C 9 U e X B l J T I w Z 2 V 3 a W p 6 a W d k M j w v S X R l b V B h d G g + P C 9 J d G V t T G 9 j Y X R p b 2 4 + P F N 0 Y W J s Z U V u d H J p Z X M g L z 4 8 L 0 l 0 Z W 0 + P E l 0 Z W 0 + P E l 0 Z W 1 M b 2 N h d G l v b j 4 8 S X R l b V R 5 c G U + R m 9 y b X V s Y T w v S X R l b V R 5 c G U + P E l 0 Z W 1 Q Y X R o P l N l Y 3 R p b 2 4 x L 0 J p Z W x l b W F u d H J l Z m Z l b i 9 W b 2 x n b 3 J k Z S U y M H Z h b i U y M G t v b G 9 t b W V u J T I w Z 2 V 3 a W p 6 a W d k M T w v S X R l b V B h d G g + P C 9 J d G V t T G 9 j Y X R p b 2 4 + P F N 0 Y W J s Z U V u d H J p Z X M g L z 4 8 L 0 l 0 Z W 0 + P E l 0 Z W 0 + P E l 0 Z W 1 M b 2 N h d G l v b j 4 8 S X R l b V R 5 c G U + R m 9 y b X V s Y T w v S X R l b V R 5 c G U + P E l 0 Z W 1 Q Y X R o P l N l Y 3 R p b 2 4 x L 0 J p Z W x l b W F u d H J l Z m Z l b i 9 L b 2 x v b W 1 l b i U y M H Z l c n d p a m R l c m Q 8 L 0 l 0 Z W 1 Q Y X R o P j w v S X R l b U x v Y 2 F 0 a W 9 u P j x T d G F i b G V F b n R y a W V z I C 8 + P C 9 J d G V t P j x J d G V t P j x J d G V t T G 9 j Y X R p b 2 4 + P E l 0 Z W 1 U e X B l P k Z v c m 1 1 b G E 8 L 0 l 0 Z W 1 U e X B l P j x J d G V t U G F 0 a D 5 T Z W N 0 a W 9 u M S 9 C a W V s Z W 1 h b n R y Z W Z m Z W 4 v V H l w Z S U y M G d l d 2 l q e m l n Z D E 8 L 0 l 0 Z W 1 Q Y X R o P j w v S X R l b U x v Y 2 F 0 a W 9 u P j x T d G F i b G V F b n R y a W V z I C 8 + P C 9 J d G V t P j x J d G V t P j x J d G V t T G 9 j Y X R p b 2 4 + P E l 0 Z W 1 U e X B l P k Z v c m 1 1 b G E 8 L 0 l 0 Z W 1 U e X B l P j x J d G V t U G F 0 a D 5 T Z W N 0 a W 9 u M S 9 L R E 0 v V 2 F h c m R l J T I w d m V y d m F u Z 2 V u O T w v S X R l b V B h d G g + P C 9 J d G V t T G 9 j Y X R p b 2 4 + P F N 0 Y W J s Z U V u d H J p Z X M g L z 4 8 L 0 l 0 Z W 0 + P E l 0 Z W 0 + P E l 0 Z W 1 M b 2 N h d G l v b j 4 8 S X R l b V R 5 c G U + R m 9 y b X V s Y T w v S X R l b V R 5 c G U + P E l 0 Z W 1 Q Y X R o P l N l Y 3 R p b 2 4 x L 0 t E T S 9 O Y W 1 l b i U y M H Z h b i U y M G t v b G 9 t b W V u J T I w Z 2 V 3 a W p 6 a W d k N T w v S X R l b V B h d G g + P C 9 J d G V t T G 9 j Y X R p b 2 4 + P F N 0 Y W J s Z U V u d H J p Z X M g L z 4 8 L 0 l 0 Z W 0 + P E l 0 Z W 0 + P E l 0 Z W 1 M b 2 N h d G l v b j 4 8 S X R l b V R 5 c G U + R m 9 y b X V s Y T w v S X R l b V R 5 c G U + P E l 0 Z W 1 Q Y X R o P l N l Y 3 R p b 2 4 x L 0 d L V k k v Q W F u Z 2 V w Y X N 0 J T I w a X R l b S U y M H R v Z W d l d m 9 l Z 2 Q 8 L 0 l 0 Z W 1 Q Y X R o P j w v S X R l b U x v Y 2 F 0 a W 9 u P j x T d G F i b G V F b n R y a W V z I C 8 + P C 9 J d G V t P j x J d G V t P j x J d G V t T G 9 j Y X R p b 2 4 + P E l 0 Z W 1 U e X B l P k Z v c m 1 1 b G E 8 L 0 l 0 Z W 1 U e X B l P j x J d G V t U G F 0 a D 5 T Z W N 0 a W 9 u M S 9 H S 1 Z J L 0 F h b m d l c G F z d C U y M G l 0 Z W 0 l M j B 0 b 2 V n Z X Z v Z W d k J T I w M T w v S X R l b V B h d G g + P C 9 J d G V t T G 9 j Y X R p b 2 4 + P F N 0 Y W J s Z U V u d H J p Z X M g L z 4 8 L 0 l 0 Z W 0 + P E l 0 Z W 0 + P E l 0 Z W 1 M b 2 N h d G l v b j 4 8 S X R l b V R 5 c G U + R m 9 y b X V s Y T w v S X R l b V R 5 c G U + P E l 0 Z W 1 Q Y X R o P l N l Y 3 R p b 2 4 x L 0 d L V k k v S G V 0 J T I w a 2 9 s b 2 1 0 e X B l J T I w a X M l M j B n Z X d p a n p p Z 2 Q 8 L 0 l 0 Z W 1 Q Y X R o P j w v S X R l b U x v Y 2 F 0 a W 9 u P j x T d G F i b G V F b n R y a W V z I C 8 + P C 9 J d G V t P j x J d G V t P j x J d G V t T G 9 j Y X R p b 2 4 + P E l 0 Z W 1 U e X B l P k Z v c m 1 1 b G E 8 L 0 l 0 Z W 1 U e X B l P j x J d G V t U G F 0 a D 5 T Z W N 0 a W 9 u M S 9 H S 1 Z J L 1 Z v b G d v c m R l J T I w d m F u J T I w a 2 9 s b 2 1 t Z W 4 l M j B n Z X d p a n p p Z 2 Q 8 L 0 l 0 Z W 1 Q Y X R o P j w v S X R l b U x v Y 2 F 0 a W 9 u P j x T d G F i b G V F b n R y a W V z I C 8 + P C 9 J d G V t P j x J d G V t P j x J d G V t T G 9 j Y X R p b 2 4 + P E l 0 Z W 1 U e X B l P k Z v c m 1 1 b G E 8 L 0 l 0 Z W 1 U e X B l P j x J d G V t U G F 0 a D 5 T Z W N 0 a W 9 u M S 9 L R E 0 v V 2 F h c m R l J T I w a X M l M j B 2 Z X J 2 Y W 5 n Z W 4 8 L 0 l 0 Z W 1 Q Y X R o P j w v S X R l b U x v Y 2 F 0 a W 9 u P j x T d G F i b G V F b n R y a W V z I C 8 + P C 9 J d G V t P j x J d G V t P j x J d G V t T G 9 j Y X R p b 2 4 + P E l 0 Z W 1 U e X B l P k Z v c m 1 1 b G E 8 L 0 l 0 Z W 1 U e X B l P j x J d G V t U G F 0 a D 5 T Z W N 0 a W 9 u M S 9 L R E w v V 2 F h c m R l J T I w a X M l M j B 2 Z X J 2 Y W 5 n Z W 4 8 L 0 l 0 Z W 1 Q Y X R o P j w v S X R l b U x v Y 2 F 0 a W 9 u P j x T d G F i b G V F b n R y a W V z I C 8 + P C 9 J d G V t P j x J d G V t P j x J d G V t T G 9 j Y X R p b 2 4 + P E l 0 Z W 1 U e X B l P k Z v c m 1 1 b G E 8 L 0 l 0 Z W 1 U e X B l P j x J d G V t U G F 0 a D 5 T Z W N 0 a W 9 u M S 9 L R E E v V 2 F h c m R l J T I w a X M l M j B 2 Z X J 2 Y W 5 n Z W 4 8 L 0 l 0 Z W 1 Q Y X R o P j w v S X R l b U x v Y 2 F 0 a W 9 u P j x T d G F i b G V F b n R y a W V z I C 8 + P C 9 J d G V t P j x J d G V t P j x J d G V t T G 9 j Y X R p b 2 4 + P E l 0 Z W 1 U e X B l P k Z v c m 1 1 b G E 8 L 0 l 0 Z W 1 U e X B l P j x J d G V t U G F 0 a D 5 T Z W N 0 a W 9 u M S 9 L R F J 2 T k I v V 2 F h c m R l J T I w a X M l M j B 2 Z X J 2 Y W 5 n Z W 4 8 L 0 l 0 Z W 1 Q Y X R o P j w v S X R l b U x v Y 2 F 0 a W 9 u P j x T d G F i b G V F b n R y a W V z I C 8 + P C 9 J d G V t P j x J d G V t P j x J d G V t T G 9 j Y X R p b 2 4 + P E l 0 Z W 1 U e X B l P k Z v c m 1 1 b G E 8 L 0 l 0 Z W 1 U e X B l P j x J d G V t U G F 0 a D 5 T Z W N 0 a W 9 u M S 9 M S i 9 X Y W F y Z G U l M j B p c y U y M H Z l c n Z h b m d l b j w v S X R l b V B h d G g + P C 9 J d G V t T G 9 j Y X R p b 2 4 + P F N 0 Y W J s Z U V u d H J p Z X M g L z 4 8 L 0 l 0 Z W 0 + P E l 0 Z W 0 + P E l 0 Z W 1 M b 2 N h d G l v b j 4 8 S X R l b V R 5 c G U + R m 9 y b X V s Y T w v S X R l b V R 5 c G U + P E l 0 Z W 1 Q Y X R o P l N l Y 3 R p b 2 4 x L 0 Z T R C 9 X Y W F y Z G U l M j B p c y U y M H Z l c n Z h b m d l b j w v S X R l b V B h d G g + P C 9 J d G V t T G 9 j Y X R p b 2 4 + P F N 0 Y W J s Z U V u d H J p Z X M g L z 4 8 L 0 l 0 Z W 0 + P E l 0 Z W 0 + P E l 0 Z W 1 M b 2 N h d G l v b j 4 8 S X R l b V R 5 c G U + R m 9 y b X V s Y T w v S X R l b V R 5 c G U + P E l 0 Z W 1 Q Y X R o P l N l Y 3 R p b 2 4 x L 0 d L V k k v V 2 F h c m R l J T I w a X M l M j B 2 Z X J 2 Y W 5 n Z W 4 8 L 0 l 0 Z W 1 Q Y X R o P j w v S X R l b U x v Y 2 F 0 a W 9 u P j x T d G F i b G V F b n R y a W V z I C 8 + P C 9 J d G V t P j x J d G V t P j x J d G V t T G 9 j Y X R p b 2 4 + P E l 0 Z W 1 U e X B l P k Z v c m 1 1 b G E 8 L 0 l 0 Z W 1 U e X B l P j x J d G V t U G F 0 a D 5 T Z W N 0 a W 9 u M S 9 L R E 0 v V 2 F h c m R l J T I w a X M l M j B 2 Z X J 2 Y W 5 n Z W 4 l M j A x P C 9 J d G V t U G F 0 a D 4 8 L 0 l 0 Z W 1 M b 2 N h d G l v b j 4 8 U 3 R h Y m x l R W 5 0 c m l l c y A v P j w v S X R l b T 4 8 S X R l b T 4 8 S X R l b U x v Y 2 F 0 a W 9 u P j x J d G V t V H l w Z T 5 G b 3 J t d W x h P C 9 J d G V t V H l w Z T 4 8 S X R l b V B h d G g + U 2 V j d G l v b j E v S 0 R M L 1 d h Y X J k Z S U y M G l z J T I w d m V y d m F u Z 2 V u J T I w M T w v S X R l b V B h d G g + P C 9 J d G V t T G 9 j Y X R p b 2 4 + P F N 0 Y W J s Z U V u d H J p Z X M g L z 4 8 L 0 l 0 Z W 0 + P E l 0 Z W 0 + P E l 0 Z W 1 M b 2 N h d G l v b j 4 8 S X R l b V R 5 c G U + R m 9 y b X V s Y T w v S X R l b V R 5 c G U + P E l 0 Z W 1 Q Y X R o P l N l Y 3 R p b 2 4 x L 0 t E Q S 9 X Y W F y Z G U l M j B p c y U y M H Z l c n Z h b m d l b i U y M D E 8 L 0 l 0 Z W 1 Q Y X R o P j w v S X R l b U x v Y 2 F 0 a W 9 u P j x T d G F i b G V F b n R y a W V z I C 8 + P C 9 J d G V t P j x J d G V t P j x J d G V t T G 9 j Y X R p b 2 4 + P E l 0 Z W 1 U e X B l P k Z v c m 1 1 b G E 8 L 0 l 0 Z W 1 U e X B l P j x J d G V t U G F 0 a D 5 T Z W N 0 a W 9 u M S 9 L R F J 2 T k I v V 2 F h c m R l J T I w a X M l M j B 2 Z X J 2 Y W 5 n Z W 4 l M j A x P C 9 J d G V t U G F 0 a D 4 8 L 0 l 0 Z W 1 M b 2 N h d G l v b j 4 8 U 3 R h Y m x l R W 5 0 c m l l c y A v P j w v S X R l b T 4 8 S X R l b T 4 8 S X R l b U x v Y 2 F 0 a W 9 u P j x J d G V t V H l w Z T 5 G b 3 J t d W x h P C 9 J d G V t V H l w Z T 4 8 S X R l b V B h d G g + U 2 V j d G l v b j E v T E o v V 2 F h c m R l J T I w a X M l M j B 2 Z X J 2 Y W 5 n Z W 4 l M j A x P C 9 J d G V t U G F 0 a D 4 8 L 0 l 0 Z W 1 M b 2 N h d G l v b j 4 8 U 3 R h Y m x l R W 5 0 c m l l c y A v P j w v S X R l b T 4 8 S X R l b T 4 8 S X R l b U x v Y 2 F 0 a W 9 u P j x J d G V t V H l w Z T 5 G b 3 J t d W x h P C 9 J d G V t V H l w Z T 4 8 S X R l b V B h d G g + U 2 V j d G l v b j E v R l N E L 1 d h Y X J k Z S U y M G l z J T I w d m V y d m F u Z 2 V u J T I w M T w v S X R l b V B h d G g + P C 9 J d G V t T G 9 j Y X R p b 2 4 + P F N 0 Y W J s Z U V u d H J p Z X M g L z 4 8 L 0 l 0 Z W 0 + P C 9 J d G V t c z 4 8 L 0 x v Y 2 F s U G F j a 2 F n Z U 1 l d G F k Y X R h R m l s Z T 4 W A A A A U E s F B g A A A A A A A A A A A A A A A A A A A A A A A G Q A A A A S N 0 c Q F i q n o Z A M 9 f f l A X 8 c 1 O E H O n 7 Q w W c N y g 5 9 d b q k J G N 2 y 6 Q p H F L e L m X m u I 3 s F 6 7 v G g u b x V D b N U y H / O x h z P p f P K z p H 6 J R d b v W q q r F X O p 5 O P H I 5 p e Z i k G O v 5 b M I o q Y W v O T y P V G < / D a t a M a s h u p > 
</file>

<file path=customXml/item2.xml><?xml version="1.0" encoding="utf-8"?>
<ct:contentTypeSchema xmlns:ct="http://schemas.microsoft.com/office/2006/metadata/contentType" xmlns:ma="http://schemas.microsoft.com/office/2006/metadata/properties/metaAttributes" ct:_="" ma:_="" ma:contentTypeName="Document" ma:contentTypeID="0x010100628E49110E16CA4CAD6807469259A23F" ma:contentTypeVersion="6" ma:contentTypeDescription="Een nieuw document maken." ma:contentTypeScope="" ma:versionID="503606b4f41f0a73a81736a59bde342f">
  <xsd:schema xmlns:xsd="http://www.w3.org/2001/XMLSchema" xmlns:xs="http://www.w3.org/2001/XMLSchema" xmlns:p="http://schemas.microsoft.com/office/2006/metadata/properties" xmlns:ns2="16868e8d-a882-449e-81d4-1ad0b5292899" xmlns:ns3="65ad308b-2083-401f-bfeb-b2b7430ea54a" targetNamespace="http://schemas.microsoft.com/office/2006/metadata/properties" ma:root="true" ma:fieldsID="ed7dc1ef7960956dcd4775d5e4f1f8d4" ns2:_="" ns3:_="">
    <xsd:import namespace="16868e8d-a882-449e-81d4-1ad0b5292899"/>
    <xsd:import namespace="65ad308b-2083-401f-bfeb-b2b7430ea54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868e8d-a882-449e-81d4-1ad0b5292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ad308b-2083-401f-bfeb-b2b7430ea54a"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65ad308b-2083-401f-bfeb-b2b7430ea54a">
      <UserInfo>
        <DisplayName>schietcommissie</DisplayName>
        <AccountId>29</AccountId>
        <AccountType/>
      </UserInfo>
      <UserInfo>
        <DisplayName>jurycollege</DisplayName>
        <AccountId>28</AccountId>
        <AccountType/>
      </UserInfo>
    </SharedWithUsers>
  </documentManagement>
</p:properties>
</file>

<file path=customXml/itemProps1.xml><?xml version="1.0" encoding="utf-8"?>
<ds:datastoreItem xmlns:ds="http://schemas.openxmlformats.org/officeDocument/2006/customXml" ds:itemID="{60A11DB6-8985-46B0-9B19-824420130A77}">
  <ds:schemaRefs>
    <ds:schemaRef ds:uri="http://schemas.microsoft.com/DataMashup"/>
  </ds:schemaRefs>
</ds:datastoreItem>
</file>

<file path=customXml/itemProps2.xml><?xml version="1.0" encoding="utf-8"?>
<ds:datastoreItem xmlns:ds="http://schemas.openxmlformats.org/officeDocument/2006/customXml" ds:itemID="{1E33B80B-A065-43C1-B140-E5F61ABCE7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868e8d-a882-449e-81d4-1ad0b5292899"/>
    <ds:schemaRef ds:uri="65ad308b-2083-401f-bfeb-b2b7430ea5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531949-6BE2-4996-A31A-B2AE19440964}">
  <ds:schemaRefs>
    <ds:schemaRef ds:uri="http://schemas.microsoft.com/sharepoint/v3/contenttype/forms"/>
  </ds:schemaRefs>
</ds:datastoreItem>
</file>

<file path=customXml/itemProps4.xml><?xml version="1.0" encoding="utf-8"?>
<ds:datastoreItem xmlns:ds="http://schemas.openxmlformats.org/officeDocument/2006/customXml" ds:itemID="{4C6B04D2-3A34-43D6-AE19-27D8B6662CDC}">
  <ds:schemaRefs>
    <ds:schemaRef ds:uri="http://schemas.openxmlformats.org/package/2006/metadata/core-properties"/>
    <ds:schemaRef ds:uri="http://purl.org/dc/elements/1.1/"/>
    <ds:schemaRef ds:uri="16868e8d-a882-449e-81d4-1ad0b5292899"/>
    <ds:schemaRef ds:uri="http://schemas.microsoft.com/office/2006/metadata/properties"/>
    <ds:schemaRef ds:uri="http://schemas.microsoft.com/office/infopath/2007/PartnerControls"/>
    <ds:schemaRef ds:uri="http://schemas.microsoft.com/office/2006/documentManagement/types"/>
    <ds:schemaRef ds:uri="http://purl.org/dc/terms/"/>
    <ds:schemaRef ds:uri="http://www.w3.org/XML/1998/namespace"/>
    <ds:schemaRef ds:uri="http://purl.org/dc/dcmitype/"/>
    <ds:schemaRef ds:uri="65ad308b-2083-401f-bfeb-b2b7430ea54a"/>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9</vt:i4>
      </vt:variant>
    </vt:vector>
  </HeadingPairs>
  <TitlesOfParts>
    <vt:vector size="9" baseType="lpstr">
      <vt:lpstr>Kringdagen</vt:lpstr>
      <vt:lpstr>KDM</vt:lpstr>
      <vt:lpstr>KDL</vt:lpstr>
      <vt:lpstr>KDA</vt:lpstr>
      <vt:lpstr>KDRvNB</vt:lpstr>
      <vt:lpstr>LJ</vt:lpstr>
      <vt:lpstr>FSD</vt:lpstr>
      <vt:lpstr>GKVI</vt:lpstr>
      <vt:lpstr>BIEL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Tjebbe</dc:creator>
  <cp:keywords/>
  <dc:description/>
  <cp:lastModifiedBy>Tjebbe Kersten</cp:lastModifiedBy>
  <cp:revision/>
  <dcterms:created xsi:type="dcterms:W3CDTF">2021-08-01T11:23:23Z</dcterms:created>
  <dcterms:modified xsi:type="dcterms:W3CDTF">2025-01-04T21:24:16Z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0x010100628E49110E16CA4CAD6807469259A23F</vt:lpwstr>
  </property>
</Properties>
</file>