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queryTables/queryTable1.xml" ContentType="application/vnd.openxmlformats-officedocument.spreadsheetml.queryTable+xml"/>
  <Override PartName="/xl/tables/table2.xml" ContentType="application/vnd.openxmlformats-officedocument.spreadsheetml.table+xml"/>
  <Override PartName="/xl/queryTables/queryTable2.xml" ContentType="application/vnd.openxmlformats-officedocument.spreadsheetml.queryTable+xml"/>
  <Override PartName="/xl/tables/table3.xml" ContentType="application/vnd.openxmlformats-officedocument.spreadsheetml.table+xml"/>
  <Override PartName="/xl/queryTables/queryTable3.xml" ContentType="application/vnd.openxmlformats-officedocument.spreadsheetml.queryTable+xml"/>
  <Override PartName="/xl/tables/table4.xml" ContentType="application/vnd.openxmlformats-officedocument.spreadsheetml.table+xml"/>
  <Override PartName="/xl/queryTables/queryTable4.xml" ContentType="application/vnd.openxmlformats-officedocument.spreadsheetml.queryTable+xml"/>
  <Override PartName="/xl/tables/table5.xml" ContentType="application/vnd.openxmlformats-officedocument.spreadsheetml.table+xml"/>
  <Override PartName="/xl/queryTables/queryTable5.xml" ContentType="application/vnd.openxmlformats-officedocument.spreadsheetml.queryTable+xml"/>
  <Override PartName="/xl/tables/table6.xml" ContentType="application/vnd.openxmlformats-officedocument.spreadsheetml.table+xml"/>
  <Override PartName="/xl/queryTables/queryTable6.xml" ContentType="application/vnd.openxmlformats-officedocument.spreadsheetml.queryTable+xml"/>
  <Override PartName="/xl/tables/table7.xml" ContentType="application/vnd.openxmlformats-officedocument.spreadsheetml.table+xml"/>
  <Override PartName="/xl/queryTables/queryTable7.xml" ContentType="application/vnd.openxmlformats-officedocument.spreadsheetml.queryTable+xml"/>
  <Override PartName="/xl/tables/table8.xml" ContentType="application/vnd.openxmlformats-officedocument.spreadsheetml.table+xml"/>
  <Override PartName="/xl/queryTables/queryTable8.xml" ContentType="application/vnd.openxmlformats-officedocument.spreadsheetml.queryTable+xml"/>
  <Override PartName="/xl/tables/table9.xml" ContentType="application/vnd.openxmlformats-officedocument.spreadsheetml.table+xml"/>
  <Override PartName="/xl/queryTables/queryTable9.xml" ContentType="application/vnd.openxmlformats-officedocument.spreadsheetml.query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166925"/>
  <mc:AlternateContent xmlns:mc="http://schemas.openxmlformats.org/markup-compatibility/2006">
    <mc:Choice Requires="x15">
      <x15ac:absPath xmlns:x15ac="http://schemas.microsoft.com/office/spreadsheetml/2010/11/ac" url="https://schutternet.sharepoint.com/sites/itontwikkeling/Shared Documents/General/Inschrijvingen/2025/"/>
    </mc:Choice>
  </mc:AlternateContent>
  <xr:revisionPtr revIDLastSave="596" documentId="8_{4EBF44F4-06D5-9C4D-8694-FA19A984791C}" xr6:coauthVersionLast="47" xr6:coauthVersionMax="47" xr10:uidLastSave="{11E2B3EA-AD5C-A340-AB8F-E7A490BE0500}"/>
  <bookViews>
    <workbookView xWindow="0" yWindow="780" windowWidth="34200" windowHeight="19940" activeTab="7" xr2:uid="{03CD9580-A04D-4759-BAC1-CC6687E7BA10}"/>
  </bookViews>
  <sheets>
    <sheet name="Kringdagen" sheetId="7" r:id="rId1"/>
    <sheet name="KDM" sheetId="3" r:id="rId2"/>
    <sheet name="KDL" sheetId="4" r:id="rId3"/>
    <sheet name="KDA" sheetId="5" r:id="rId4"/>
    <sheet name="KDRvNB" sheetId="6" r:id="rId5"/>
    <sheet name="LJ" sheetId="11" state="hidden" r:id="rId6"/>
    <sheet name="FSD" sheetId="2" r:id="rId7"/>
    <sheet name="GKVI" sheetId="8" r:id="rId8"/>
    <sheet name="BIEL" sheetId="10" r:id="rId9"/>
  </sheets>
  <definedNames>
    <definedName name="ExternalData_1" localSheetId="6" hidden="1">FSD!$A$6:$BW$25</definedName>
    <definedName name="ExternalData_1" localSheetId="3" hidden="1">KDA!$A$6:$BW$18</definedName>
    <definedName name="ExternalData_1" localSheetId="2" hidden="1">KDL!$A$6:$BW$15</definedName>
    <definedName name="ExternalData_1" localSheetId="1" hidden="1">KDM!$A$7:$BW$12</definedName>
    <definedName name="ExternalData_1" localSheetId="4" hidden="1">KDRvNB!$A$6:$BW$12</definedName>
    <definedName name="ExternalData_1" localSheetId="0" hidden="1">Kringdagen!$A$6:$BW$57</definedName>
    <definedName name="ExterneGegevens_1" localSheetId="3" hidden="1">KDA!#REF!</definedName>
    <definedName name="ExterneGegevens_1" localSheetId="2" hidden="1">KDL!#REF!</definedName>
    <definedName name="ExterneGegevens_1" localSheetId="1" hidden="1">KDM!#REF!</definedName>
    <definedName name="ExterneGegevens_1" localSheetId="4" hidden="1">KDRvNB!#REF!</definedName>
    <definedName name="ExterneGegevens_1" localSheetId="0" hidden="1">Kringdagen!#REF!</definedName>
    <definedName name="ExterneGegevens_2" localSheetId="8" hidden="1">BIEL!$A$5:$K$12</definedName>
    <definedName name="ExterneGegevens_4" localSheetId="7" hidden="1">GKVI!$A$6:$W$25</definedName>
    <definedName name="ExterneGegevens_4" localSheetId="5" hidden="1">LJ!$A$6:$BW$7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3" i="10" l="1"/>
  <c r="D13" i="10"/>
  <c r="E13" i="10"/>
  <c r="F13" i="10"/>
  <c r="G13" i="10"/>
  <c r="C26" i="8"/>
  <c r="F26" i="8"/>
  <c r="G26" i="8"/>
  <c r="H26" i="8"/>
  <c r="I26" i="8"/>
  <c r="J26" i="8"/>
  <c r="K26" i="8"/>
  <c r="L26" i="8"/>
  <c r="M26" i="8"/>
  <c r="O26" i="8"/>
  <c r="P26" i="8"/>
  <c r="Q26" i="8"/>
  <c r="R26" i="8"/>
  <c r="S26" i="8"/>
  <c r="T26" i="8"/>
  <c r="U26" i="8"/>
  <c r="C26" i="2"/>
  <c r="D26" i="2"/>
  <c r="E26" i="2"/>
  <c r="F26" i="2"/>
  <c r="G26" i="2"/>
  <c r="H26" i="2"/>
  <c r="I26" i="2"/>
  <c r="J26" i="2"/>
  <c r="K26" i="2"/>
  <c r="L26" i="2"/>
  <c r="M26" i="2"/>
  <c r="N26" i="2"/>
  <c r="O26" i="2"/>
  <c r="P26" i="2"/>
  <c r="T26" i="2"/>
  <c r="U26" i="2"/>
  <c r="V26" i="2"/>
  <c r="W26" i="2"/>
  <c r="X26" i="2"/>
  <c r="Y26" i="2"/>
  <c r="Z26" i="2"/>
  <c r="AA26" i="2"/>
  <c r="AB26" i="2"/>
  <c r="AC26" i="2"/>
  <c r="AD26" i="2"/>
  <c r="AE26" i="2"/>
  <c r="AF26" i="2"/>
  <c r="AG26" i="2"/>
  <c r="AH26" i="2"/>
  <c r="AI26" i="2"/>
  <c r="AJ26" i="2"/>
  <c r="AK26" i="2"/>
  <c r="AL26" i="2"/>
  <c r="AM26" i="2"/>
  <c r="AN26" i="2"/>
  <c r="AO26" i="2"/>
  <c r="AP26" i="2"/>
  <c r="AQ26" i="2"/>
  <c r="AR26" i="2"/>
  <c r="AS26" i="2"/>
  <c r="AT26" i="2"/>
  <c r="AU26" i="2"/>
  <c r="AV26" i="2"/>
  <c r="AW26" i="2"/>
  <c r="AX26" i="2"/>
  <c r="AY26" i="2"/>
  <c r="AZ26" i="2"/>
  <c r="BW26" i="2"/>
  <c r="C13" i="6"/>
  <c r="D13" i="6"/>
  <c r="E13" i="6"/>
  <c r="F13" i="6"/>
  <c r="G13" i="6"/>
  <c r="H13" i="6"/>
  <c r="I13" i="6"/>
  <c r="J13" i="6"/>
  <c r="K13" i="6"/>
  <c r="L13" i="6"/>
  <c r="M13" i="6"/>
  <c r="N13" i="6"/>
  <c r="O13" i="6"/>
  <c r="P13" i="6"/>
  <c r="T13" i="6"/>
  <c r="U13" i="6"/>
  <c r="V13" i="6"/>
  <c r="W13" i="6"/>
  <c r="X13" i="6"/>
  <c r="Y13" i="6"/>
  <c r="Z13" i="6"/>
  <c r="AA13" i="6"/>
  <c r="AB13" i="6"/>
  <c r="AC13" i="6"/>
  <c r="AD13" i="6"/>
  <c r="AE13" i="6"/>
  <c r="AF13" i="6"/>
  <c r="AG13" i="6"/>
  <c r="AH13" i="6"/>
  <c r="AI13" i="6"/>
  <c r="AJ13" i="6"/>
  <c r="AK13" i="6"/>
  <c r="AL13" i="6"/>
  <c r="AM13" i="6"/>
  <c r="AN13" i="6"/>
  <c r="AO13" i="6"/>
  <c r="AP13" i="6"/>
  <c r="AQ13" i="6"/>
  <c r="AR13" i="6"/>
  <c r="AS13" i="6"/>
  <c r="AT13" i="6"/>
  <c r="AU13" i="6"/>
  <c r="AV13" i="6"/>
  <c r="AW13" i="6"/>
  <c r="AX13" i="6"/>
  <c r="AY13" i="6"/>
  <c r="AZ13" i="6"/>
  <c r="BW13" i="6"/>
  <c r="C19" i="5"/>
  <c r="D19" i="5"/>
  <c r="E19" i="5"/>
  <c r="F19" i="5"/>
  <c r="G19" i="5"/>
  <c r="H19" i="5"/>
  <c r="I19" i="5"/>
  <c r="J19" i="5"/>
  <c r="K19" i="5"/>
  <c r="L19" i="5"/>
  <c r="M19" i="5"/>
  <c r="N19" i="5"/>
  <c r="O19" i="5"/>
  <c r="P19" i="5"/>
  <c r="T19" i="5"/>
  <c r="U19" i="5"/>
  <c r="V19" i="5"/>
  <c r="W19" i="5"/>
  <c r="X19" i="5"/>
  <c r="Y19" i="5"/>
  <c r="Z19" i="5"/>
  <c r="AA19" i="5"/>
  <c r="AB19" i="5"/>
  <c r="AC19" i="5"/>
  <c r="AD19" i="5"/>
  <c r="AE19" i="5"/>
  <c r="AF19" i="5"/>
  <c r="AG19" i="5"/>
  <c r="AH19" i="5"/>
  <c r="AI19" i="5"/>
  <c r="AJ19" i="5"/>
  <c r="AK19" i="5"/>
  <c r="AL19" i="5"/>
  <c r="AM19" i="5"/>
  <c r="AN19" i="5"/>
  <c r="AO19" i="5"/>
  <c r="AP19" i="5"/>
  <c r="AQ19" i="5"/>
  <c r="AR19" i="5"/>
  <c r="AS19" i="5"/>
  <c r="AT19" i="5"/>
  <c r="AU19" i="5"/>
  <c r="AV19" i="5"/>
  <c r="AW19" i="5"/>
  <c r="AX19" i="5"/>
  <c r="AY19" i="5"/>
  <c r="AZ19" i="5"/>
  <c r="BW19" i="5"/>
  <c r="C58" i="7"/>
  <c r="D58" i="7"/>
  <c r="E58" i="7"/>
  <c r="F58" i="7"/>
  <c r="G58" i="7"/>
  <c r="H58" i="7"/>
  <c r="I58" i="7"/>
  <c r="J58" i="7"/>
  <c r="K58" i="7"/>
  <c r="L58" i="7"/>
  <c r="M58" i="7"/>
  <c r="N58" i="7"/>
  <c r="O58" i="7"/>
  <c r="P58" i="7"/>
  <c r="R58" i="7"/>
  <c r="S58" i="7"/>
  <c r="T58" i="7"/>
  <c r="U58" i="7"/>
  <c r="V58" i="7"/>
  <c r="W58" i="7"/>
  <c r="X58" i="7"/>
  <c r="Y58" i="7"/>
  <c r="Z58" i="7"/>
  <c r="AA58" i="7"/>
  <c r="AB58" i="7"/>
  <c r="AC58" i="7"/>
  <c r="AD58" i="7"/>
  <c r="AE58" i="7"/>
  <c r="AF58" i="7"/>
  <c r="AG58" i="7"/>
  <c r="AH58" i="7"/>
  <c r="AI58" i="7"/>
  <c r="AJ58" i="7"/>
  <c r="AK58" i="7"/>
  <c r="AL58" i="7"/>
  <c r="AM58" i="7"/>
  <c r="AN58" i="7"/>
  <c r="AO58" i="7"/>
  <c r="AP58" i="7"/>
  <c r="AQ58" i="7"/>
  <c r="AR58" i="7"/>
  <c r="AS58" i="7"/>
  <c r="AT58" i="7"/>
  <c r="AU58" i="7"/>
  <c r="AV58" i="7"/>
  <c r="AW58" i="7"/>
  <c r="AX58" i="7"/>
  <c r="AY58" i="7"/>
  <c r="AZ58" i="7"/>
  <c r="BW58" i="7"/>
  <c r="C16" i="4"/>
  <c r="D16" i="4"/>
  <c r="E16" i="4"/>
  <c r="F16" i="4"/>
  <c r="G16" i="4"/>
  <c r="H16" i="4"/>
  <c r="I16" i="4"/>
  <c r="J16" i="4"/>
  <c r="K16" i="4"/>
  <c r="L16" i="4"/>
  <c r="M16" i="4"/>
  <c r="N16" i="4"/>
  <c r="O16" i="4"/>
  <c r="P16" i="4"/>
  <c r="T16" i="4"/>
  <c r="U16" i="4"/>
  <c r="V16" i="4"/>
  <c r="W16" i="4"/>
  <c r="X16" i="4"/>
  <c r="Y16" i="4"/>
  <c r="Z16" i="4"/>
  <c r="AA16" i="4"/>
  <c r="AB16" i="4"/>
  <c r="AC16" i="4"/>
  <c r="AD16" i="4"/>
  <c r="AE16" i="4"/>
  <c r="AF16" i="4"/>
  <c r="AG16" i="4"/>
  <c r="AH16" i="4"/>
  <c r="AI16" i="4"/>
  <c r="AJ16" i="4"/>
  <c r="AK16" i="4"/>
  <c r="AL16" i="4"/>
  <c r="AM16" i="4"/>
  <c r="AN16" i="4"/>
  <c r="AO16" i="4"/>
  <c r="AP16" i="4"/>
  <c r="AQ16" i="4"/>
  <c r="AR16" i="4"/>
  <c r="AS16" i="4"/>
  <c r="AT16" i="4"/>
  <c r="AU16" i="4"/>
  <c r="AV16" i="4"/>
  <c r="AW16" i="4"/>
  <c r="AX16" i="4"/>
  <c r="AY16" i="4"/>
  <c r="AZ16" i="4"/>
  <c r="BW16" i="4"/>
  <c r="C13" i="3"/>
  <c r="D13" i="3"/>
  <c r="E13" i="3"/>
  <c r="F13" i="3"/>
  <c r="G13" i="3"/>
  <c r="H13" i="3"/>
  <c r="I13" i="3"/>
  <c r="J13" i="3"/>
  <c r="K13" i="3"/>
  <c r="L13" i="3"/>
  <c r="M13" i="3"/>
  <c r="N13" i="3"/>
  <c r="O13" i="3"/>
  <c r="P13" i="3"/>
  <c r="T13" i="3"/>
  <c r="U13" i="3"/>
  <c r="V13" i="3"/>
  <c r="W13" i="3"/>
  <c r="X13" i="3"/>
  <c r="Y13" i="3"/>
  <c r="Z13" i="3"/>
  <c r="AA13" i="3"/>
  <c r="AB13" i="3"/>
  <c r="AC13" i="3"/>
  <c r="AD13" i="3"/>
  <c r="AE13" i="3"/>
  <c r="AF13" i="3"/>
  <c r="AG13" i="3"/>
  <c r="AH13" i="3"/>
  <c r="AI13" i="3"/>
  <c r="AJ13" i="3"/>
  <c r="AK13" i="3"/>
  <c r="AL13" i="3"/>
  <c r="AM13" i="3"/>
  <c r="AN13" i="3"/>
  <c r="AO13" i="3"/>
  <c r="AP13" i="3"/>
  <c r="AQ13" i="3"/>
  <c r="AR13" i="3"/>
  <c r="AS13" i="3"/>
  <c r="AT13" i="3"/>
  <c r="AU13" i="3"/>
  <c r="AV13" i="3"/>
  <c r="AW13" i="3"/>
  <c r="AX13" i="3"/>
  <c r="AY13" i="3"/>
  <c r="AZ13" i="3"/>
  <c r="BW13" i="3"/>
  <c r="AM8" i="11" l="1"/>
  <c r="CG8" i="11" l="1"/>
  <c r="AO8" i="11"/>
  <c r="AN8" i="11"/>
  <c r="AL8" i="11"/>
  <c r="AK8" i="11"/>
  <c r="AJ8" i="11"/>
  <c r="AI8" i="11"/>
  <c r="AH8" i="11"/>
  <c r="AG8" i="11"/>
  <c r="AF8" i="11"/>
  <c r="AE8" i="11"/>
  <c r="AD8" i="11"/>
  <c r="AC8" i="11"/>
  <c r="AB8" i="11"/>
  <c r="AA8" i="11"/>
  <c r="Z8" i="11"/>
  <c r="Y8" i="11"/>
  <c r="X8" i="11"/>
  <c r="W8" i="11"/>
  <c r="V8" i="11"/>
  <c r="U8" i="11"/>
  <c r="T8" i="11"/>
  <c r="S8" i="11"/>
  <c r="R8" i="11"/>
  <c r="Q8" i="11"/>
  <c r="P8" i="11"/>
  <c r="O8" i="11"/>
  <c r="N8" i="11"/>
  <c r="M8" i="11"/>
  <c r="L8" i="11"/>
  <c r="K8" i="11"/>
  <c r="J8" i="11"/>
  <c r="I8" i="11"/>
  <c r="H8" i="11"/>
  <c r="G8" i="11"/>
  <c r="F8" i="11"/>
  <c r="E8" i="11"/>
  <c r="D8" i="11"/>
  <c r="C8" i="1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E25862AB-1258-427D-8EA5-40A8709440DB}" keepAlive="1" name="Query - Bestand transformeren" description="Verbinding maken met de query Bestand transformeren in de werkmap." type="5" refreshedVersion="0" background="1">
    <dbPr connection="Provider=Microsoft.Mashup.OleDb.1;Data Source=$Workbook$;Location=&quot;Bestand transformeren&quot;;Extended Properties=&quot;&quot;" command="SELECT * FROM [Bestand transformeren]"/>
  </connection>
  <connection id="2" xr16:uid="{24C01A1E-D826-4112-9955-886819B151F5}" keepAlive="1" name="Query - Bestand transformeren (2)" description="Verbinding maken met de query Bestand transformeren (2) in de werkmap." type="5" refreshedVersion="0" background="1">
    <dbPr connection="Provider=Microsoft.Mashup.OleDb.1;Data Source=$Workbook$;Location=&quot;Bestand transformeren (2)&quot;;Extended Properties=&quot;&quot;" command="SELECT * FROM [Bestand transformeren (2)]"/>
  </connection>
  <connection id="3" xr16:uid="{3B6A0310-664C-4E64-A3B7-25F3E681196D}" keepAlive="1" name="Query - Bielemantreffen" description="Verbinding maken met de query Bielemantreffen in de werkmap." type="5" refreshedVersion="8" background="1" saveData="1">
    <dbPr connection="Provider=Microsoft.Mashup.OleDb.1;Data Source=$Workbook$;Location=Bielemantreffen;Extended Properties=&quot;&quot;" command="SELECT * FROM [Bielemantreffen]"/>
  </connection>
  <connection id="4" xr16:uid="{69259F06-DFDE-422F-B22F-34F5B8BA4F3C}" keepAlive="1" name="Query - FSD" description="Verbinding maken met de query FSD in de werkmap." type="5" refreshedVersion="8" background="1" saveData="1">
    <dbPr connection="Provider=Microsoft.Mashup.OleDb.1;Data Source=$Workbook$;Location=FSD;Extended Properties=&quot;&quot;" command="SELECT * FROM [FSD]"/>
  </connection>
  <connection id="5" xr16:uid="{29BD84AE-8F27-4908-A83C-7ED73E12DBA2}" keepAlive="1" name="Query - GKVI" description="Verbinding maken met de query GKVI in de werkmap." type="5" refreshedVersion="8" background="1" saveData="1">
    <dbPr connection="Provider=Microsoft.Mashup.OleDb.1;Data Source=$Workbook$;Location=GKVI;Extended Properties=&quot;&quot;" command="SELECT * FROM [GKVI]"/>
  </connection>
  <connection id="6" xr16:uid="{1625A445-E30E-4F48-A0F2-6C74EC2051F0}" keepAlive="1" name="Query - KDA" description="Verbinding maken met de query KDA in de werkmap." type="5" refreshedVersion="8" background="1" saveData="1">
    <dbPr connection="Provider=Microsoft.Mashup.OleDb.1;Data Source=$Workbook$;Location=KDA;Extended Properties=&quot;&quot;" command="SELECT * FROM [KDA]"/>
  </connection>
  <connection id="7" xr16:uid="{95A0D4BA-BB95-4202-94CF-7EEF29081440}" keepAlive="1" name="Query - KDL" description="Verbinding maken met de query KDL in de werkmap." type="5" refreshedVersion="8" background="1" saveData="1">
    <dbPr connection="Provider=Microsoft.Mashup.OleDb.1;Data Source=$Workbook$;Location=KDL;Extended Properties=&quot;&quot;" command="SELECT * FROM [KDL]"/>
  </connection>
  <connection id="8" xr16:uid="{6ECB9EB1-D1B9-490B-9D4B-7E83A861BE9B}" keepAlive="1" name="Query - KDM" description="Verbinding maken met de query KDM in de werkmap." type="5" refreshedVersion="8" background="1" saveData="1">
    <dbPr connection="Provider=Microsoft.Mashup.OleDb.1;Data Source=$Workbook$;Location=KDM;Extended Properties=&quot;&quot;" command="SELECT * FROM [KDM]"/>
  </connection>
  <connection id="9" xr16:uid="{1E5A8A6C-BF60-4AB0-BB7E-7F5846BE3EBD}" keepAlive="1" name="Query - KDRvNB" description="Verbinding maken met de query KDRvNB in de werkmap." type="5" refreshedVersion="8" background="1" saveData="1">
    <dbPr connection="Provider=Microsoft.Mashup.OleDb.1;Data Source=$Workbook$;Location=KDRvNB;Extended Properties=&quot;&quot;" command="SELECT * FROM [KDRvNB]"/>
  </connection>
  <connection id="10" xr16:uid="{CC620F3C-D390-418D-B8F5-4017A3B4A9F8}" keepAlive="1" name="Query - Kringdagen" description="Verbinding maken met de query Kringdagen in de werkmap." type="5" refreshedVersion="8" background="1" saveData="1">
    <dbPr connection="Provider=Microsoft.Mashup.OleDb.1;Data Source=$Workbook$;Location=Kringdagen;Extended Properties=&quot;&quot;" command="SELECT * FROM [Kringdagen]"/>
  </connection>
  <connection id="11" xr16:uid="{BC7C330E-ABF7-4BA8-A950-714863517EFF}" keepAlive="1" name="Query - LJ" description="Verbinding maken met de query LJ in de werkmap." type="5" refreshedVersion="8" background="1" saveData="1">
    <dbPr connection="Provider=Microsoft.Mashup.OleDb.1;Data Source=$Workbook$;Location=LJ;Extended Properties=&quot;&quot;" command="SELECT * FROM [LJ]"/>
  </connection>
  <connection id="12" xr16:uid="{9EB2A673-6133-4718-B17C-8DCFF9F6E361}" keepAlive="1" name="Query - Parameter1" description="Verbinding maken met de query Parameter1 in de werkmap." type="5" refreshedVersion="0" background="1">
    <dbPr connection="Provider=Microsoft.Mashup.OleDb.1;Data Source=$Workbook$;Location=Parameter1;Extended Properties=&quot;&quot;" command="SELECT * FROM [Parameter1]"/>
  </connection>
  <connection id="13" xr16:uid="{57415776-99A3-48CA-9AEB-5FAD9B307722}" keepAlive="1" name="Query - Parameter2" description="Verbinding maken met de query Parameter2 in de werkmap." type="5" refreshedVersion="0" background="1">
    <dbPr connection="Provider=Microsoft.Mashup.OleDb.1;Data Source=$Workbook$;Location=Parameter2;Extended Properties=&quot;&quot;" command="SELECT * FROM [Parameter2]"/>
  </connection>
  <connection id="14" xr16:uid="{14C00971-510E-4456-892D-616488EC8613}" keepAlive="1" name="Query - Voorbeeldbestand" description="Verbinding maken met de query Voorbeeldbestand in de werkmap." type="5" refreshedVersion="0" background="1">
    <dbPr connection="Provider=Microsoft.Mashup.OleDb.1;Data Source=$Workbook$;Location=Voorbeeldbestand;Extended Properties=&quot;&quot;" command="SELECT * FROM [Voorbeeldbestand]"/>
  </connection>
  <connection id="15" xr16:uid="{8850FBBF-3AFD-4368-8D31-E26F6D73CB6B}" keepAlive="1" name="Query - Voorbeeldbestand (2)" description="Verbinding maken met de query Voorbeeldbestand (2) in de werkmap." type="5" refreshedVersion="0" background="1">
    <dbPr connection="Provider=Microsoft.Mashup.OleDb.1;Data Source=$Workbook$;Location=&quot;Voorbeeldbestand (2)&quot;;Extended Properties=&quot;&quot;" command="SELECT * FROM [Voorbeeldbestand (2)]"/>
  </connection>
  <connection id="16" xr16:uid="{3E11B3C3-C94A-4FD2-871D-FF7D335D35BB}" keepAlive="1" name="Query - Voorbeeldbestand transformeren" description="Verbinding maken met de query Voorbeeldbestand transformeren in de werkmap." type="5" refreshedVersion="0" background="1">
    <dbPr connection="Provider=Microsoft.Mashup.OleDb.1;Data Source=$Workbook$;Location=&quot;Voorbeeldbestand transformeren&quot;;Extended Properties=&quot;&quot;" command="SELECT * FROM [Voorbeeldbestand transformeren]"/>
  </connection>
  <connection id="17" xr16:uid="{86331CA9-DD4F-4B74-AFC1-DF8CE4168860}" keepAlive="1" name="Query - Voorbeeldbestand transformeren (2)" description="Verbinding maken met de query Voorbeeldbestand transformeren (2) in de werkmap." type="5" refreshedVersion="0" background="1">
    <dbPr connection="Provider=Microsoft.Mashup.OleDb.1;Data Source=$Workbook$;Location=&quot;Voorbeeldbestand transformeren (2)&quot;;Extended Properties=&quot;&quot;" command="SELECT * FROM [Voorbeeldbestand transformeren (2)]"/>
  </connection>
</connections>
</file>

<file path=xl/sharedStrings.xml><?xml version="1.0" encoding="utf-8"?>
<sst xmlns="http://schemas.openxmlformats.org/spreadsheetml/2006/main" count="4645" uniqueCount="257">
  <si>
    <t>,</t>
  </si>
  <si>
    <t>Start</t>
  </si>
  <si>
    <t>Vendelen</t>
  </si>
  <si>
    <t>Muziek</t>
  </si>
  <si>
    <t>Maj.</t>
  </si>
  <si>
    <t>Bielemannen</t>
  </si>
  <si>
    <t>Mark.</t>
  </si>
  <si>
    <t>Schieten</t>
  </si>
  <si>
    <t>Overige gegevens</t>
  </si>
  <si>
    <t>Details muziek</t>
  </si>
  <si>
    <t>Details majorette</t>
  </si>
  <si>
    <t>Klassiek</t>
  </si>
  <si>
    <t>Acrobatish</t>
  </si>
  <si>
    <t>Show</t>
  </si>
  <si>
    <t>Individueel</t>
  </si>
  <si>
    <t>Hoofdkorps</t>
  </si>
  <si>
    <t>2e korps</t>
  </si>
  <si>
    <t>Kringdag</t>
  </si>
  <si>
    <t>Ver.nr</t>
  </si>
  <si>
    <t>Naam vereniging</t>
  </si>
  <si>
    <t>Delegatie</t>
  </si>
  <si>
    <t>Muziekkorps bij mars en defilé</t>
  </si>
  <si>
    <t>Deeln. jeugdkoningschieten</t>
  </si>
  <si>
    <t>Maj. Senioren jureren bij mars</t>
  </si>
  <si>
    <t>Maj. Jeugd jureren bij mars</t>
  </si>
  <si>
    <t>Korps senioren</t>
  </si>
  <si>
    <t>Acrobatisch senioren</t>
  </si>
  <si>
    <t>Acrobatisch junioren</t>
  </si>
  <si>
    <t>Acrobatisch aspiranten</t>
  </si>
  <si>
    <t>Show senioren</t>
  </si>
  <si>
    <t>Show junioren</t>
  </si>
  <si>
    <t>Show aspiranten</t>
  </si>
  <si>
    <t>Senioren indiv.</t>
  </si>
  <si>
    <t>Junioren indiv.</t>
  </si>
  <si>
    <t>Aspiranten indiv.</t>
  </si>
  <si>
    <t>Sen. ind opgegeven namen</t>
  </si>
  <si>
    <t>Jun. ind opgegeven namen</t>
  </si>
  <si>
    <t>Asp. ind opgegeven namen</t>
  </si>
  <si>
    <t>Senioren</t>
  </si>
  <si>
    <t>Junioren</t>
  </si>
  <si>
    <t>Aspiranten</t>
  </si>
  <si>
    <t>Marketentsters</t>
  </si>
  <si>
    <t>Luchtgeweer</t>
  </si>
  <si>
    <t>Luchtpistool</t>
  </si>
  <si>
    <t>Kruisboog</t>
  </si>
  <si>
    <t>Handboog</t>
  </si>
  <si>
    <t>Totaal aantal deelnemers</t>
  </si>
  <si>
    <t>Waarvan aantal jeugd (t/m 15 jaar)</t>
  </si>
  <si>
    <t>Kanon etc.</t>
  </si>
  <si>
    <t>Paarden en/of koetsen</t>
  </si>
  <si>
    <t>Toelichting/opmerkingen</t>
  </si>
  <si>
    <t>Inzending-ID</t>
  </si>
  <si>
    <t>Inzenddatum</t>
  </si>
  <si>
    <t>Naam van het hoofdkorps</t>
  </si>
  <si>
    <t>Zal op treden als (hoofdkorps)</t>
  </si>
  <si>
    <t>Vorm van twee muziekwerken (hoofdkorps)</t>
  </si>
  <si>
    <t>Zal uitkomen in de: (hoofdkorps)</t>
  </si>
  <si>
    <t>Muziekwerk1 (hoofdkorps)</t>
  </si>
  <si>
    <t>Muziekwerk2 (hoofdkorps)</t>
  </si>
  <si>
    <t>Korps bestaat uit ... deelnemers (hoofdkorps)</t>
  </si>
  <si>
    <t>Naam van het 2e korps</t>
  </si>
  <si>
    <t>Zal op treden als (2e korps)</t>
  </si>
  <si>
    <t>Vorm van twee muziekwerken (2e korps)</t>
  </si>
  <si>
    <t>Zal uitkomen in de: (2e korps)</t>
  </si>
  <si>
    <t>Muziekwerk1 (2e korps)</t>
  </si>
  <si>
    <t>Muziekwerk2 (2e korps)</t>
  </si>
  <si>
    <t>Korps bestaat uit ... deelnemers (2e korps)</t>
  </si>
  <si>
    <t>Onderdelen</t>
  </si>
  <si>
    <t>Secties</t>
  </si>
  <si>
    <t>Leeftijdscategorie</t>
  </si>
  <si>
    <t>Mechanische muziek</t>
  </si>
  <si>
    <t>Aantal opgegeven majorettes</t>
  </si>
  <si>
    <t>x</t>
  </si>
  <si>
    <t/>
  </si>
  <si>
    <t xml:space="preserve"> x</t>
  </si>
  <si>
    <t>Ja</t>
  </si>
  <si>
    <t>Twee stilstaande werken</t>
  </si>
  <si>
    <t>Superieure B (KNMO: tweede divisie)</t>
  </si>
  <si>
    <t>Korps</t>
  </si>
  <si>
    <t>Totaal</t>
  </si>
  <si>
    <t>Kringdag Montferland</t>
  </si>
  <si>
    <t>Kringdag de Liemers</t>
  </si>
  <si>
    <t>Kringdag de Achterhoek</t>
  </si>
  <si>
    <t>Kringdag Rijk van Nijmegen/de Betuwe</t>
  </si>
  <si>
    <t>Landjuweel</t>
  </si>
  <si>
    <t>12 juni 2022, E.M.M. Giesbeek</t>
  </si>
  <si>
    <t>Federatieve schuttersdag</t>
  </si>
  <si>
    <t>Vendelen korps</t>
  </si>
  <si>
    <t>Acrobatisch</t>
  </si>
  <si>
    <t>GKVI</t>
  </si>
  <si>
    <t>Ver.nr.</t>
  </si>
  <si>
    <t>Korps klassiek senioren</t>
  </si>
  <si>
    <t>Korps acrob. senioren</t>
  </si>
  <si>
    <t>Korps acrob. junioren</t>
  </si>
  <si>
    <t>Korps acrob. aspiranten</t>
  </si>
  <si>
    <t>Korps show senioren</t>
  </si>
  <si>
    <t>Korps show junioren</t>
  </si>
  <si>
    <t>Korps show aspiranten</t>
  </si>
  <si>
    <t>Opmerkingen</t>
  </si>
  <si>
    <t>Aantal deelnemers</t>
  </si>
  <si>
    <t>Hiervan is aspirant</t>
  </si>
  <si>
    <t>Aantal ver.</t>
  </si>
  <si>
    <t>BIEL</t>
  </si>
  <si>
    <t>Opmerkingen/toelichting</t>
  </si>
  <si>
    <t>Korps 1 klassiek junioren</t>
  </si>
  <si>
    <t>Korps 2 klassiek junioren</t>
  </si>
  <si>
    <t>Korps 1 klassiek aspiranten</t>
  </si>
  <si>
    <t>Korps 2 klassiek aspiranten</t>
  </si>
  <si>
    <t>Date Updated</t>
  </si>
  <si>
    <t>test vereniging</t>
  </si>
  <si>
    <t>Groepen, teams, ensembles en duo's</t>
  </si>
  <si>
    <t>Jong volwassene</t>
  </si>
  <si>
    <t>Opgegeven senioren</t>
  </si>
  <si>
    <t>Opgegeven jong volwassene</t>
  </si>
  <si>
    <t>Opgegeven junioren</t>
  </si>
  <si>
    <t>Opgegeven aspiranten</t>
  </si>
  <si>
    <t>Luchtgeweer jeugd niet ouder dan 17 jaar.</t>
  </si>
  <si>
    <t>Aantal korpsen</t>
  </si>
  <si>
    <t>Opgegeven jeugdkorpsen LG</t>
  </si>
  <si>
    <t>TEST</t>
  </si>
  <si>
    <t>Werk1</t>
  </si>
  <si>
    <t>werk2</t>
  </si>
  <si>
    <t>Aantal luchtgeweerschutters</t>
  </si>
  <si>
    <t>Aantal luchtpistoolschutters</t>
  </si>
  <si>
    <t>Aantal handboogschutters</t>
  </si>
  <si>
    <t>Aantal kruisboogschutters</t>
  </si>
  <si>
    <t>Junioren korps 1</t>
  </si>
  <si>
    <t>Junioren korps 2</t>
  </si>
  <si>
    <t>Aspiranten korps 1</t>
  </si>
  <si>
    <t>Aspiranten korps 2</t>
  </si>
  <si>
    <t>Schuttersgilde E.M.M. Lobith</t>
  </si>
  <si>
    <t>Ik kan geen namen invullen van personen die meedoen met het schieten (luchtgeweer en luchtpistool)
De vorige keer is dit ook al misgegaan en konden we niet mee schieten.</t>
  </si>
  <si>
    <t>Haaksbergsche Schutterij Haaksbergen</t>
  </si>
  <si>
    <t>Schutterij Wilhelmina Azewijn</t>
  </si>
  <si>
    <t>KDL2025</t>
  </si>
  <si>
    <t>KDA2025</t>
  </si>
  <si>
    <t>KDRVNB2025</t>
  </si>
  <si>
    <t>Gilde St. Salvator Mundi Nederasselt</t>
  </si>
  <si>
    <t>FSD2025</t>
  </si>
  <si>
    <t>25 mei 2025, Eensgezindheid Aerdt</t>
  </si>
  <si>
    <t>13 april 2025, De Eendracht Didam</t>
  </si>
  <si>
    <t>18 mei 2025, Schutterij De Eendracht Ulft</t>
  </si>
  <si>
    <t>22 juni 2025, St. Salvator Mundi Nederasselt</t>
  </si>
  <si>
    <t>21 september 2025, St. Isidorus Oud Dijk</t>
  </si>
  <si>
    <t>Gelders Kampioenschap Vendelen Indoor 30-3-2025</t>
  </si>
  <si>
    <t>De Eendracht Wehl</t>
  </si>
  <si>
    <t>Bielemantreffen 2025</t>
  </si>
  <si>
    <t>Zondag 26 oktober 2025, E.M.M. Giesbeek</t>
  </si>
  <si>
    <t>Het Gilde St. Oswaldus Stokkum</t>
  </si>
  <si>
    <t>Schuttersvereniging St. Antonius Lengel</t>
  </si>
  <si>
    <t>R.K. Schutterij St. Hubertus Groesbeek</t>
  </si>
  <si>
    <t>GKVI2025</t>
  </si>
  <si>
    <t>BIEL2025</t>
  </si>
  <si>
    <t>3004</t>
  </si>
  <si>
    <t>Schutterij St. Isidorus Oud-Dijk</t>
  </si>
  <si>
    <t>De Schanskloppers Lievelde</t>
  </si>
  <si>
    <t>Naar alle waarschijnlijkheid nemen wij deel met 2 tamboers of 1 persoon die de tamboerijn vast heeft. Dit ligt aan de bezetting. Nu nog onduidelijk. 
Commandant is afwezig tijdens concours ivm zwangerschapsverlof dus we zullen naar alle waarschijnlijkheid deelnemen zonder commandant.</t>
  </si>
  <si>
    <t>St. Damianus Gilde Niftrik</t>
  </si>
  <si>
    <t>Koning  St. Damianus  Joop Eichelsheim zal met het kringschieten meedoen.</t>
  </si>
  <si>
    <t>Schuttersgilde St. Sebastianus Gendt</t>
  </si>
  <si>
    <t>Wij doen wel mee met mars en defilé, maar buiten mededinging!
Bij de muziekwedstrijd hoeven we géén jurybeoordeling. We willen graag de show ergens aan publiek presenteren</t>
  </si>
  <si>
    <t>Showoptreden</t>
  </si>
  <si>
    <t>Superieure A (KNMO: eerste divisie)</t>
  </si>
  <si>
    <t>Gildeshow</t>
  </si>
  <si>
    <t>Drumband Schanskloppers Lievelde</t>
  </si>
  <si>
    <t>Naar alle waarschijnlijkheid nemen wij deel met 2 tamboers of 1 persoon die de tamboerijn vast heeft. Dit ligt aan de bezetting. Nu nog onduidelijk.</t>
  </si>
  <si>
    <t>Jong St. Sebastianus</t>
  </si>
  <si>
    <t>KDM2025</t>
  </si>
  <si>
    <t>Schutterij St. Jan Kilder</t>
  </si>
  <si>
    <t>Nee</t>
  </si>
  <si>
    <t>Jong St. Sebastianus Gendt</t>
  </si>
  <si>
    <t>Disney</t>
  </si>
  <si>
    <t>3010</t>
  </si>
  <si>
    <t>1833</t>
  </si>
  <si>
    <t>2014</t>
  </si>
  <si>
    <t>4023</t>
  </si>
  <si>
    <t>4009</t>
  </si>
  <si>
    <t>4008</t>
  </si>
  <si>
    <t>4027</t>
  </si>
  <si>
    <t>1014a</t>
  </si>
  <si>
    <t>1010</t>
  </si>
  <si>
    <t>1014</t>
  </si>
  <si>
    <t>1002</t>
  </si>
  <si>
    <t>1011</t>
  </si>
  <si>
    <t>1099</t>
  </si>
  <si>
    <t>4010</t>
  </si>
  <si>
    <t>3003</t>
  </si>
  <si>
    <t>Schutterij Wilhelmina Didam</t>
  </si>
  <si>
    <t>Duo1,Ensemble1,Ensemble2,Team1</t>
  </si>
  <si>
    <t>Sectie A,Sectie A,Sectie A,Sectie A</t>
  </si>
  <si>
    <t>Jeugd1,Senior,Senior,Senior</t>
  </si>
  <si>
    <t>1839</t>
  </si>
  <si>
    <t>2012</t>
  </si>
  <si>
    <t>Schutterij Willem Tell Loo</t>
  </si>
  <si>
    <t>aantal</t>
  </si>
  <si>
    <t xml:space="preserve">aantal </t>
  </si>
  <si>
    <t>Groep1</t>
  </si>
  <si>
    <t>Sectie A</t>
  </si>
  <si>
    <t>Jeugd1</t>
  </si>
  <si>
    <t>Senior</t>
  </si>
  <si>
    <t>1005</t>
  </si>
  <si>
    <t>Schuttersgenootschap Orde Eendracht Vreugde Millingen a/d Rijn</t>
  </si>
  <si>
    <t>1841</t>
  </si>
  <si>
    <t>3007</t>
  </si>
  <si>
    <t>R.K. Schutterij de Heegh Didam</t>
  </si>
  <si>
    <t>2004</t>
  </si>
  <si>
    <t>Schutterij Eendracht Maakt Macht Ooy-Zevenaar</t>
  </si>
  <si>
    <t>4014</t>
  </si>
  <si>
    <t>2007</t>
  </si>
  <si>
    <t>Schuttersgilde Vrede en Vriendschap Herwen</t>
  </si>
  <si>
    <t>1013</t>
  </si>
  <si>
    <t>Schuttersgilde St. Bavo Angeren</t>
  </si>
  <si>
    <t>4020</t>
  </si>
  <si>
    <t>Schuttersgilde Wals Wieken Milt Gendringen</t>
  </si>
  <si>
    <t>Dit concours organiseren we zelf. We willen de mars- en defiléwedstrijden zelf openen, maar willen niet gejureerd worden.</t>
  </si>
  <si>
    <t>Een marcherend en een stilstaand werk</t>
  </si>
  <si>
    <t>Ere-afdeling (KNMO: derde divisie)</t>
  </si>
  <si>
    <t>Street Swingers</t>
  </si>
  <si>
    <t>The Young Generation</t>
  </si>
  <si>
    <t>Drumfanfare St. Bavo Angeren</t>
  </si>
  <si>
    <t>Arnhem</t>
  </si>
  <si>
    <t>Bavomars</t>
  </si>
  <si>
    <t>Bij voorkeur 's-ochtends indelen</t>
  </si>
  <si>
    <t>1852</t>
  </si>
  <si>
    <t>2008</t>
  </si>
  <si>
    <t>Schuttersgilde Excelsior Lobith</t>
  </si>
  <si>
    <t>1007</t>
  </si>
  <si>
    <t>Schutterij Eendracht Ooij</t>
  </si>
  <si>
    <t>4016</t>
  </si>
  <si>
    <t>Onze Lieve Vrouwe Gilde Varsselder-Veldhunten</t>
  </si>
  <si>
    <t>1868</t>
  </si>
  <si>
    <t>3008</t>
  </si>
  <si>
    <t>Schutterij de Eendracht Nieuw-Wehl</t>
  </si>
  <si>
    <t>De Marketentsters komen ook mee. Zijn daar wedstrijden voor?</t>
  </si>
  <si>
    <t>2013</t>
  </si>
  <si>
    <t>Schutterij Eendracht Maakt Macht Giesbeek</t>
  </si>
  <si>
    <t>Schutterij "De Eendracht" Ulft</t>
  </si>
  <si>
    <t>4024</t>
  </si>
  <si>
    <t>Schuttersgilde St. Jan Keijenborg</t>
  </si>
  <si>
    <t>Veel succes met de organisatie!</t>
  </si>
  <si>
    <t>1873</t>
  </si>
  <si>
    <t>4017</t>
  </si>
  <si>
    <t>Schutterij De Eendracht Etten</t>
  </si>
  <si>
    <t>Hoi Tjebbe, ik zie dat je de jeudgleden qua schieten nog niet de namen kunt invullen? Die gaat nog wel gebeuren voor het concours?
Puur even als opmerking voor nu.
Majorettes doen wij wel mee aan de wedstrijden, deze vul ik voor 31 december nog in.</t>
  </si>
  <si>
    <t>4015</t>
  </si>
  <si>
    <t>Schuttersgilde St. Hubertus Ulft</t>
  </si>
  <si>
    <t>n.t.b.</t>
  </si>
  <si>
    <t>4019</t>
  </si>
  <si>
    <t>Schutterij St. Martinus Megchelen</t>
  </si>
  <si>
    <t>1015</t>
  </si>
  <si>
    <t>Gilden van St. Gangulphus en St. Laurentius Huissen</t>
  </si>
  <si>
    <t>korps</t>
  </si>
  <si>
    <t>Vaandelafdeling (KNMO: vierde divisie)</t>
  </si>
  <si>
    <t>nog niet bekent</t>
  </si>
  <si>
    <t>4013</t>
  </si>
  <si>
    <t>Schuttersgilde St. Joris Ulft</t>
  </si>
  <si>
    <t>1882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</si>
</sst>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Calibri"/>
      <family val="2"/>
      <scheme val="minor"/>
    </font>
    <font>
      <sz val="8"/>
      <name val="Calibri"/>
      <family val="2"/>
      <scheme val="minor"/>
    </font>
    <font>
      <sz val="11"/>
      <color theme="0"/>
      <name val="Calibri"/>
      <family val="2"/>
      <scheme val="minor"/>
    </font>
    <font>
      <sz val="11"/>
      <name val="Calibri"/>
      <family val="2"/>
      <scheme val="minor"/>
    </font>
    <font>
      <b/>
      <sz val="11"/>
      <color theme="1"/>
      <name val="Calibri"/>
      <family val="2"/>
      <scheme val="minor"/>
    </font>
    <font>
      <b/>
      <sz val="11"/>
      <name val="Calibri"/>
      <family val="2"/>
      <scheme val="minor"/>
    </font>
    <font>
      <sz val="12"/>
      <color theme="1"/>
      <name val="Calibri"/>
      <family val="2"/>
      <scheme val="minor"/>
    </font>
    <font>
      <b/>
      <sz val="18"/>
      <color theme="1"/>
      <name val="Calibri"/>
      <family val="2"/>
      <scheme val="minor"/>
    </font>
    <font>
      <b/>
      <sz val="12"/>
      <color theme="1"/>
      <name val="Calibri"/>
      <family val="2"/>
      <scheme val="minor"/>
    </font>
    <font>
      <sz val="12"/>
      <name val="Calibri"/>
      <family val="2"/>
      <scheme val="minor"/>
    </font>
    <font>
      <b/>
      <sz val="12"/>
      <name val="Calibri"/>
      <family val="2"/>
      <scheme val="minor"/>
    </font>
    <font>
      <b/>
      <sz val="14"/>
      <color theme="1"/>
      <name val="Calibri"/>
      <family val="2"/>
      <scheme val="minor"/>
    </font>
    <font>
      <sz val="11"/>
      <color rgb="FF000000"/>
      <name val="Calibri"/>
      <family val="2"/>
      <charset val="1"/>
    </font>
    <font>
      <b/>
      <sz val="11"/>
      <color rgb="FF000000"/>
      <name val="Calibri"/>
      <family val="2"/>
      <scheme val="minor"/>
    </font>
  </fonts>
  <fills count="4">
    <fill>
      <patternFill patternType="none"/>
    </fill>
    <fill>
      <patternFill patternType="gray125"/>
    </fill>
    <fill>
      <patternFill patternType="solid">
        <fgColor theme="9"/>
        <bgColor indexed="64"/>
      </patternFill>
    </fill>
    <fill>
      <patternFill patternType="solid">
        <fgColor theme="0"/>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theme="9" tint="0.39997558519241921"/>
      </top>
      <bottom style="thin">
        <color theme="9" tint="0.39997558519241921"/>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thin">
        <color indexed="64"/>
      </left>
      <right style="thin">
        <color indexed="64"/>
      </right>
      <top style="double">
        <color theme="9"/>
      </top>
      <bottom style="thin">
        <color theme="9" tint="0.39997558519241921"/>
      </bottom>
      <diagonal/>
    </border>
    <border>
      <left style="thin">
        <color indexed="64"/>
      </left>
      <right style="thin">
        <color indexed="64"/>
      </right>
      <top style="double">
        <color rgb="FF70AD47"/>
      </top>
      <bottom style="thin">
        <color rgb="FFA9D08E"/>
      </bottom>
      <diagonal/>
    </border>
  </borders>
  <cellStyleXfs count="2">
    <xf numFmtId="0" fontId="0" fillId="0" borderId="0"/>
    <xf numFmtId="0" fontId="7" fillId="0" borderId="0"/>
  </cellStyleXfs>
  <cellXfs count="183">
    <xf numFmtId="0" fontId="0" fillId="0" borderId="0" xfId="0"/>
    <xf numFmtId="0" fontId="0" fillId="0" borderId="0" xfId="0" applyAlignment="1">
      <alignment horizontal="center"/>
    </xf>
    <xf numFmtId="0" fontId="4" fillId="0" borderId="0" xfId="0" applyFont="1"/>
    <xf numFmtId="0" fontId="4" fillId="0" borderId="0" xfId="0" applyFont="1" applyAlignment="1">
      <alignment horizontal="right" vertical="top" textRotation="90"/>
    </xf>
    <xf numFmtId="0" fontId="4" fillId="0" borderId="0" xfId="0" applyFont="1" applyAlignment="1">
      <alignment horizontal="center" vertical="top" textRotation="90"/>
    </xf>
    <xf numFmtId="0" fontId="4" fillId="0" borderId="0" xfId="0" applyFont="1" applyAlignment="1">
      <alignment horizontal="center"/>
    </xf>
    <xf numFmtId="0" fontId="4" fillId="0" borderId="0" xfId="0" applyFont="1" applyAlignment="1">
      <alignment vertical="top"/>
    </xf>
    <xf numFmtId="0" fontId="4" fillId="0" borderId="3" xfId="0" applyFont="1" applyBorder="1" applyAlignment="1">
      <alignment vertical="top"/>
    </xf>
    <xf numFmtId="0" fontId="4" fillId="0" borderId="4" xfId="0" applyFont="1" applyBorder="1" applyAlignment="1">
      <alignment vertical="top"/>
    </xf>
    <xf numFmtId="0" fontId="4" fillId="0" borderId="3" xfId="0" applyFont="1" applyBorder="1" applyAlignment="1">
      <alignment horizontal="center" vertical="top" textRotation="90"/>
    </xf>
    <xf numFmtId="0" fontId="4" fillId="0" borderId="5" xfId="0" applyFont="1" applyBorder="1" applyAlignment="1">
      <alignment horizontal="center" vertical="top" textRotation="90"/>
    </xf>
    <xf numFmtId="0" fontId="4" fillId="0" borderId="4" xfId="0" applyFont="1" applyBorder="1" applyAlignment="1">
      <alignment horizontal="center" vertical="top" textRotation="90"/>
    </xf>
    <xf numFmtId="0" fontId="3" fillId="0" borderId="5" xfId="0" applyFont="1" applyBorder="1" applyAlignment="1">
      <alignment horizontal="center" vertical="top" textRotation="90"/>
    </xf>
    <xf numFmtId="0" fontId="3" fillId="0" borderId="4" xfId="0" applyFont="1" applyBorder="1" applyAlignment="1">
      <alignment horizontal="center" vertical="top" textRotation="90"/>
    </xf>
    <xf numFmtId="0" fontId="4" fillId="0" borderId="2" xfId="0" applyFont="1" applyBorder="1" applyAlignment="1">
      <alignment horizontal="center" vertical="top" textRotation="90"/>
    </xf>
    <xf numFmtId="0" fontId="0" fillId="0" borderId="14" xfId="0" applyBorder="1"/>
    <xf numFmtId="0" fontId="0" fillId="0" borderId="14" xfId="0" applyBorder="1" applyAlignment="1">
      <alignment horizontal="center"/>
    </xf>
    <xf numFmtId="0" fontId="5" fillId="2" borderId="6" xfId="0" applyFont="1" applyFill="1" applyBorder="1" applyAlignment="1">
      <alignment horizontal="center" vertical="top"/>
    </xf>
    <xf numFmtId="0" fontId="5" fillId="2" borderId="7" xfId="0" applyFont="1" applyFill="1" applyBorder="1" applyAlignment="1">
      <alignment horizontal="center" vertical="top"/>
    </xf>
    <xf numFmtId="0" fontId="5" fillId="2" borderId="11" xfId="0" applyFont="1" applyFill="1" applyBorder="1" applyAlignment="1">
      <alignment horizontal="center" vertical="top"/>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6" xfId="0" applyFont="1" applyFill="1" applyBorder="1" applyAlignment="1">
      <alignment horizontal="center"/>
    </xf>
    <xf numFmtId="0" fontId="5" fillId="2" borderId="7" xfId="0" applyFont="1" applyFill="1" applyBorder="1" applyAlignment="1">
      <alignment horizontal="center"/>
    </xf>
    <xf numFmtId="0" fontId="5" fillId="2" borderId="11" xfId="0" applyFont="1" applyFill="1" applyBorder="1" applyAlignment="1">
      <alignment horizontal="center"/>
    </xf>
    <xf numFmtId="0" fontId="5" fillId="2" borderId="12" xfId="0" applyFont="1" applyFill="1" applyBorder="1" applyAlignment="1">
      <alignment horizontal="center"/>
    </xf>
    <xf numFmtId="0" fontId="5" fillId="2" borderId="13" xfId="0" applyFont="1" applyFill="1" applyBorder="1" applyAlignment="1">
      <alignment horizontal="center"/>
    </xf>
    <xf numFmtId="0" fontId="5" fillId="0" borderId="14" xfId="0" applyFont="1" applyBorder="1"/>
    <xf numFmtId="0" fontId="5" fillId="0" borderId="14" xfId="0" applyFont="1" applyBorder="1" applyAlignment="1">
      <alignment horizontal="center"/>
    </xf>
    <xf numFmtId="0" fontId="6" fillId="0" borderId="14" xfId="0" applyFont="1" applyBorder="1" applyAlignment="1">
      <alignment horizontal="center"/>
    </xf>
    <xf numFmtId="0" fontId="5" fillId="0" borderId="15" xfId="0" applyFont="1" applyBorder="1" applyAlignment="1">
      <alignment horizontal="center"/>
    </xf>
    <xf numFmtId="0" fontId="5" fillId="0" borderId="0" xfId="0" applyFont="1"/>
    <xf numFmtId="0" fontId="0" fillId="0" borderId="0" xfId="0" applyAlignment="1">
      <alignment horizontal="center" vertical="top"/>
    </xf>
    <xf numFmtId="0" fontId="5" fillId="0" borderId="0" xfId="0" applyFont="1" applyAlignment="1">
      <alignment horizontal="center" vertical="top"/>
    </xf>
    <xf numFmtId="0" fontId="8" fillId="0" borderId="0" xfId="1" applyFont="1" applyAlignment="1">
      <alignment horizontal="left" vertical="top"/>
    </xf>
    <xf numFmtId="0" fontId="7" fillId="0" borderId="0" xfId="1"/>
    <xf numFmtId="0" fontId="8" fillId="0" borderId="0" xfId="1" applyFont="1" applyAlignment="1">
      <alignment vertical="top"/>
    </xf>
    <xf numFmtId="0" fontId="8" fillId="0" borderId="8" xfId="1" applyFont="1" applyBorder="1" applyAlignment="1">
      <alignment horizontal="left" vertical="top"/>
    </xf>
    <xf numFmtId="0" fontId="8" fillId="0" borderId="9" xfId="1" applyFont="1" applyBorder="1" applyAlignment="1">
      <alignment horizontal="left" vertical="top"/>
    </xf>
    <xf numFmtId="0" fontId="8" fillId="0" borderId="10" xfId="1" applyFont="1" applyBorder="1" applyAlignment="1">
      <alignment horizontal="left" vertical="top"/>
    </xf>
    <xf numFmtId="0" fontId="8" fillId="0" borderId="6" xfId="1" applyFont="1" applyBorder="1" applyAlignment="1">
      <alignment horizontal="left" vertical="top"/>
    </xf>
    <xf numFmtId="0" fontId="8" fillId="0" borderId="7" xfId="1" applyFont="1" applyBorder="1" applyAlignment="1">
      <alignment horizontal="left" vertical="top"/>
    </xf>
    <xf numFmtId="0" fontId="8" fillId="0" borderId="11" xfId="1" applyFont="1" applyBorder="1" applyAlignment="1">
      <alignment horizontal="left" vertical="top"/>
    </xf>
    <xf numFmtId="0" fontId="10" fillId="0" borderId="12" xfId="1" applyFont="1" applyBorder="1"/>
    <xf numFmtId="0" fontId="10" fillId="0" borderId="8" xfId="1" applyFont="1" applyBorder="1"/>
    <xf numFmtId="0" fontId="10" fillId="0" borderId="12" xfId="1" applyFont="1" applyBorder="1" applyAlignment="1">
      <alignment wrapText="1"/>
    </xf>
    <xf numFmtId="0" fontId="10" fillId="0" borderId="0" xfId="1" applyFont="1"/>
    <xf numFmtId="0" fontId="9" fillId="0" borderId="0" xfId="0" applyFont="1" applyAlignment="1">
      <alignment horizontal="center"/>
    </xf>
    <xf numFmtId="0" fontId="11" fillId="2" borderId="1" xfId="0" applyFont="1" applyFill="1" applyBorder="1"/>
    <xf numFmtId="0" fontId="11" fillId="2" borderId="1" xfId="0" applyFont="1" applyFill="1" applyBorder="1" applyAlignment="1">
      <alignment horizontal="center" wrapText="1"/>
    </xf>
    <xf numFmtId="0" fontId="4" fillId="0" borderId="8" xfId="0" applyFont="1" applyBorder="1" applyAlignment="1">
      <alignment vertical="top"/>
    </xf>
    <xf numFmtId="0" fontId="4" fillId="0" borderId="10" xfId="0" applyFont="1" applyBorder="1" applyAlignment="1">
      <alignment vertical="top"/>
    </xf>
    <xf numFmtId="0" fontId="4" fillId="0" borderId="9" xfId="0" applyFont="1" applyBorder="1" applyAlignment="1">
      <alignment horizontal="center" vertical="top" textRotation="90"/>
    </xf>
    <xf numFmtId="0" fontId="4" fillId="0" borderId="10" xfId="0" applyFont="1" applyBorder="1" applyAlignment="1">
      <alignment horizontal="center" vertical="top" textRotation="90"/>
    </xf>
    <xf numFmtId="0" fontId="4" fillId="0" borderId="8" xfId="0" applyFont="1" applyBorder="1" applyAlignment="1">
      <alignment horizontal="center" vertical="top" textRotation="90"/>
    </xf>
    <xf numFmtId="0" fontId="3" fillId="0" borderId="9" xfId="0" applyFont="1" applyBorder="1" applyAlignment="1">
      <alignment horizontal="center" vertical="top" textRotation="90"/>
    </xf>
    <xf numFmtId="0" fontId="3" fillId="0" borderId="10" xfId="0" applyFont="1" applyBorder="1" applyAlignment="1">
      <alignment horizontal="center" vertical="top" textRotation="90"/>
    </xf>
    <xf numFmtId="0" fontId="4" fillId="0" borderId="12" xfId="0" applyFont="1" applyBorder="1" applyAlignment="1">
      <alignment horizontal="center" vertical="top" textRotation="90"/>
    </xf>
    <xf numFmtId="22" fontId="0" fillId="0" borderId="14" xfId="0" applyNumberFormat="1" applyBorder="1"/>
    <xf numFmtId="0" fontId="0" fillId="0" borderId="14" xfId="0" applyBorder="1" applyAlignment="1">
      <alignment wrapText="1"/>
    </xf>
    <xf numFmtId="0" fontId="0" fillId="0" borderId="0" xfId="0" applyAlignment="1">
      <alignment wrapText="1"/>
    </xf>
    <xf numFmtId="0" fontId="5" fillId="2" borderId="7" xfId="0" applyFont="1" applyFill="1" applyBorder="1" applyAlignment="1">
      <alignment horizontal="center" wrapText="1"/>
    </xf>
    <xf numFmtId="0" fontId="0" fillId="0" borderId="0" xfId="0" applyAlignment="1">
      <alignment horizontal="center" wrapText="1"/>
    </xf>
    <xf numFmtId="0" fontId="4" fillId="0" borderId="9" xfId="0" applyFont="1" applyBorder="1" applyAlignment="1">
      <alignment wrapText="1"/>
    </xf>
    <xf numFmtId="0" fontId="5" fillId="0" borderId="16" xfId="0" applyFont="1" applyBorder="1" applyAlignment="1">
      <alignment wrapText="1"/>
    </xf>
    <xf numFmtId="0" fontId="8" fillId="0" borderId="0" xfId="1" applyFont="1" applyAlignment="1">
      <alignment horizontal="left" vertical="top" wrapText="1"/>
    </xf>
    <xf numFmtId="0" fontId="8" fillId="0" borderId="8" xfId="1" applyFont="1" applyBorder="1" applyAlignment="1">
      <alignment vertical="top" wrapText="1"/>
    </xf>
    <xf numFmtId="0" fontId="8" fillId="0" borderId="6" xfId="1" applyFont="1" applyBorder="1" applyAlignment="1">
      <alignment vertical="top" wrapText="1"/>
    </xf>
    <xf numFmtId="0" fontId="7" fillId="0" borderId="0" xfId="1" applyAlignment="1">
      <alignment wrapText="1"/>
    </xf>
    <xf numFmtId="0" fontId="0" fillId="0" borderId="0" xfId="0" applyAlignment="1">
      <alignment horizontal="left"/>
    </xf>
    <xf numFmtId="1" fontId="0" fillId="0" borderId="0" xfId="0" applyNumberFormat="1"/>
    <xf numFmtId="0" fontId="12" fillId="0" borderId="0" xfId="0" applyFont="1" applyAlignment="1">
      <alignment horizontal="center" vertical="center"/>
    </xf>
    <xf numFmtId="0" fontId="12" fillId="0" borderId="0" xfId="0" applyFont="1" applyAlignment="1">
      <alignment horizontal="center"/>
    </xf>
    <xf numFmtId="0" fontId="5" fillId="2" borderId="0" xfId="0" applyFont="1" applyFill="1" applyAlignment="1">
      <alignment horizontal="center" vertical="top"/>
    </xf>
    <xf numFmtId="0" fontId="5" fillId="0" borderId="0" xfId="0" applyFont="1" applyAlignment="1">
      <alignment horizontal="center"/>
    </xf>
    <xf numFmtId="0" fontId="8" fillId="0" borderId="0" xfId="1" applyFont="1" applyAlignment="1">
      <alignment horizontal="center" vertical="top"/>
    </xf>
    <xf numFmtId="0" fontId="4" fillId="0" borderId="2" xfId="0" applyFont="1" applyBorder="1" applyAlignment="1">
      <alignment vertical="top"/>
    </xf>
    <xf numFmtId="0" fontId="4" fillId="0" borderId="3" xfId="0" applyFont="1" applyBorder="1" applyAlignment="1">
      <alignment horizontal="right" vertical="top" textRotation="90"/>
    </xf>
    <xf numFmtId="1" fontId="0" fillId="0" borderId="0" xfId="0" applyNumberFormat="1" applyAlignment="1">
      <alignment horizontal="center"/>
    </xf>
    <xf numFmtId="0" fontId="5" fillId="3" borderId="0" xfId="0" applyFont="1" applyFill="1" applyAlignment="1">
      <alignment horizontal="center" vertical="top"/>
    </xf>
    <xf numFmtId="0" fontId="0" fillId="0" borderId="20" xfId="0" applyBorder="1"/>
    <xf numFmtId="0" fontId="13" fillId="0" borderId="0" xfId="0" applyFont="1"/>
    <xf numFmtId="0" fontId="11" fillId="2" borderId="0" xfId="0" applyFont="1" applyFill="1"/>
    <xf numFmtId="0" fontId="8" fillId="0" borderId="9" xfId="1" applyFont="1" applyBorder="1" applyAlignment="1">
      <alignment vertical="top" wrapText="1"/>
    </xf>
    <xf numFmtId="0" fontId="8" fillId="0" borderId="7" xfId="1" applyFont="1" applyBorder="1" applyAlignment="1">
      <alignment vertical="top" wrapText="1"/>
    </xf>
    <xf numFmtId="0" fontId="0" fillId="0" borderId="0" xfId="0" applyAlignment="1">
      <alignment horizontal="center" vertical="center"/>
    </xf>
    <xf numFmtId="22" fontId="0" fillId="0" borderId="0" xfId="0" applyNumberFormat="1"/>
    <xf numFmtId="0" fontId="5" fillId="2" borderId="3" xfId="0" applyFont="1" applyFill="1" applyBorder="1"/>
    <xf numFmtId="0" fontId="5" fillId="2" borderId="5" xfId="0" applyFont="1" applyFill="1" applyBorder="1"/>
    <xf numFmtId="0" fontId="5" fillId="2" borderId="4" xfId="0" applyFont="1" applyFill="1" applyBorder="1"/>
    <xf numFmtId="0" fontId="4" fillId="0" borderId="0" xfId="0" applyFont="1" applyAlignment="1">
      <alignment horizontal="left"/>
    </xf>
    <xf numFmtId="0" fontId="3" fillId="0" borderId="0" xfId="0" applyFont="1" applyAlignment="1">
      <alignment horizontal="center"/>
    </xf>
    <xf numFmtId="0" fontId="4" fillId="0" borderId="0" xfId="0" applyFont="1" applyAlignment="1">
      <alignment wrapText="1"/>
    </xf>
    <xf numFmtId="0" fontId="0" fillId="0" borderId="5" xfId="0" applyBorder="1" applyAlignment="1">
      <alignment vertical="top" textRotation="90"/>
    </xf>
    <xf numFmtId="0" fontId="5" fillId="2" borderId="8" xfId="0" applyFont="1" applyFill="1" applyBorder="1" applyAlignment="1">
      <alignment vertical="top"/>
    </xf>
    <xf numFmtId="0" fontId="5" fillId="2" borderId="9" xfId="0" applyFont="1" applyFill="1" applyBorder="1" applyAlignment="1">
      <alignment vertical="top"/>
    </xf>
    <xf numFmtId="0" fontId="5" fillId="2" borderId="10" xfId="0" applyFont="1" applyFill="1" applyBorder="1" applyAlignment="1">
      <alignment vertical="top"/>
    </xf>
    <xf numFmtId="0" fontId="4" fillId="0" borderId="5" xfId="0" applyFont="1" applyBorder="1" applyAlignment="1">
      <alignment vertical="top" wrapText="1"/>
    </xf>
    <xf numFmtId="0" fontId="5" fillId="2" borderId="7" xfId="0" applyFont="1" applyFill="1" applyBorder="1"/>
    <xf numFmtId="0" fontId="5" fillId="2" borderId="11" xfId="0" applyFont="1" applyFill="1" applyBorder="1"/>
    <xf numFmtId="0" fontId="0" fillId="0" borderId="4" xfId="0" applyBorder="1" applyAlignment="1">
      <alignment vertical="top" textRotation="90"/>
    </xf>
    <xf numFmtId="22" fontId="0" fillId="0" borderId="0" xfId="0" applyNumberFormat="1" applyAlignment="1">
      <alignment horizontal="center"/>
    </xf>
    <xf numFmtId="14" fontId="0" fillId="0" borderId="0" xfId="0" applyNumberFormat="1"/>
    <xf numFmtId="49" fontId="4" fillId="0" borderId="0" xfId="0" applyNumberFormat="1" applyFont="1" applyAlignment="1">
      <alignment horizontal="center"/>
    </xf>
    <xf numFmtId="0" fontId="5" fillId="2" borderId="5" xfId="0" applyFont="1" applyFill="1" applyBorder="1" applyAlignment="1">
      <alignment vertical="center"/>
    </xf>
    <xf numFmtId="0" fontId="5" fillId="2" borderId="4" xfId="0" applyFont="1" applyFill="1" applyBorder="1" applyAlignment="1">
      <alignment vertical="center"/>
    </xf>
    <xf numFmtId="0" fontId="4" fillId="0" borderId="5" xfId="0" applyFont="1" applyBorder="1" applyAlignment="1">
      <alignment horizontal="left" vertical="top" wrapText="1"/>
    </xf>
    <xf numFmtId="0" fontId="5" fillId="2" borderId="7" xfId="0" applyFont="1" applyFill="1" applyBorder="1" applyAlignment="1">
      <alignment horizontal="left" wrapText="1"/>
    </xf>
    <xf numFmtId="0" fontId="4" fillId="0" borderId="5" xfId="0" applyFont="1" applyBorder="1" applyAlignment="1">
      <alignment horizontal="left" wrapText="1"/>
    </xf>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8" xfId="0" applyFont="1" applyFill="1" applyBorder="1" applyAlignment="1">
      <alignment horizontal="center" vertical="top"/>
    </xf>
    <xf numFmtId="0" fontId="5" fillId="2" borderId="10" xfId="0" applyFont="1" applyFill="1" applyBorder="1" applyAlignment="1">
      <alignment horizontal="center" vertical="top"/>
    </xf>
    <xf numFmtId="0" fontId="10" fillId="0" borderId="1" xfId="1" applyFont="1" applyBorder="1" applyAlignment="1">
      <alignment textRotation="90" wrapText="1"/>
    </xf>
    <xf numFmtId="0" fontId="10" fillId="0" borderId="9" xfId="1" applyFont="1" applyBorder="1" applyAlignment="1">
      <alignment textRotation="90"/>
    </xf>
    <xf numFmtId="0" fontId="10" fillId="0" borderId="10" xfId="1" applyFont="1" applyBorder="1" applyAlignment="1">
      <alignment textRotation="90"/>
    </xf>
    <xf numFmtId="0" fontId="10" fillId="0" borderId="1" xfId="1" applyFont="1" applyBorder="1" applyAlignment="1">
      <alignment horizontal="center" textRotation="90" wrapText="1"/>
    </xf>
    <xf numFmtId="0" fontId="4" fillId="0" borderId="1" xfId="0" applyFont="1" applyBorder="1" applyAlignment="1">
      <alignment horizontal="center" textRotation="90" wrapText="1"/>
    </xf>
    <xf numFmtId="0" fontId="5" fillId="0" borderId="26" xfId="0" applyFont="1" applyBorder="1" applyAlignment="1">
      <alignment horizontal="center"/>
    </xf>
    <xf numFmtId="0" fontId="14" fillId="0" borderId="27" xfId="0" applyFont="1" applyBorder="1" applyAlignment="1">
      <alignment horizontal="center"/>
    </xf>
    <xf numFmtId="0" fontId="0" fillId="0" borderId="4" xfId="0" applyBorder="1" applyAlignment="1">
      <alignment horizontal="center" vertical="top" textRotation="90"/>
    </xf>
    <xf numFmtId="0" fontId="5" fillId="2" borderId="7" xfId="0" applyFont="1" applyFill="1" applyBorder="1" applyAlignment="1">
      <alignment horizontal="center" vertical="center"/>
    </xf>
    <xf numFmtId="0" fontId="4" fillId="0" borderId="5" xfId="0" applyFont="1" applyBorder="1" applyAlignment="1">
      <alignment horizontal="center" vertical="center" textRotation="90"/>
    </xf>
    <xf numFmtId="0" fontId="4" fillId="0" borderId="0" xfId="0" applyFont="1" applyAlignment="1">
      <alignment horizontal="center" vertical="center" textRotation="90"/>
    </xf>
    <xf numFmtId="0" fontId="5" fillId="2" borderId="6" xfId="0" applyFont="1" applyFill="1" applyBorder="1"/>
    <xf numFmtId="0" fontId="0" fillId="0" borderId="5" xfId="0" applyBorder="1" applyAlignment="1">
      <alignment horizontal="center" vertical="top" textRotation="90"/>
    </xf>
    <xf numFmtId="0" fontId="5" fillId="2" borderId="10" xfId="0" applyFont="1" applyFill="1" applyBorder="1" applyAlignment="1">
      <alignment horizontal="left"/>
    </xf>
    <xf numFmtId="0" fontId="5" fillId="2" borderId="11" xfId="0" applyFont="1" applyFill="1" applyBorder="1" applyAlignment="1">
      <alignment horizontal="left"/>
    </xf>
    <xf numFmtId="0" fontId="4" fillId="0" borderId="4" xfId="0" applyFont="1" applyBorder="1" applyAlignment="1">
      <alignment horizontal="left" vertical="top"/>
    </xf>
    <xf numFmtId="0" fontId="5" fillId="0" borderId="0" xfId="0" applyFont="1" applyAlignment="1">
      <alignment horizontal="left"/>
    </xf>
    <xf numFmtId="0" fontId="0" fillId="0" borderId="20" xfId="0" applyBorder="1" applyAlignment="1">
      <alignment horizontal="left"/>
    </xf>
    <xf numFmtId="0" fontId="0" fillId="0" borderId="0" xfId="0" applyAlignment="1">
      <alignment horizontal="right"/>
    </xf>
    <xf numFmtId="0" fontId="5" fillId="2" borderId="8" xfId="0" applyFont="1" applyFill="1" applyBorder="1" applyAlignment="1">
      <alignment horizontal="center"/>
    </xf>
    <xf numFmtId="0" fontId="5" fillId="2" borderId="9" xfId="0" applyFont="1" applyFill="1" applyBorder="1" applyAlignment="1">
      <alignment horizontal="center"/>
    </xf>
    <xf numFmtId="0" fontId="5" fillId="2" borderId="10" xfId="0" applyFont="1" applyFill="1" applyBorder="1" applyAlignment="1">
      <alignment horizontal="center"/>
    </xf>
    <xf numFmtId="0" fontId="5" fillId="2" borderId="3" xfId="0" applyFont="1" applyFill="1" applyBorder="1" applyAlignment="1">
      <alignment horizontal="center"/>
    </xf>
    <xf numFmtId="0" fontId="5" fillId="2" borderId="5" xfId="0" applyFont="1" applyFill="1" applyBorder="1" applyAlignment="1">
      <alignment horizontal="center"/>
    </xf>
    <xf numFmtId="0" fontId="5" fillId="2" borderId="4" xfId="0" applyFont="1" applyFill="1" applyBorder="1" applyAlignment="1">
      <alignment horizontal="center"/>
    </xf>
    <xf numFmtId="0" fontId="5" fillId="2" borderId="3"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12" fillId="0" borderId="0" xfId="0" applyFont="1" applyAlignment="1">
      <alignment horizontal="center" vertical="center"/>
    </xf>
    <xf numFmtId="0" fontId="12" fillId="0" borderId="7" xfId="0" applyFont="1" applyBorder="1" applyAlignment="1">
      <alignment horizontal="center"/>
    </xf>
    <xf numFmtId="0" fontId="12" fillId="0" borderId="0" xfId="0" applyFont="1" applyAlignment="1">
      <alignment horizontal="center"/>
    </xf>
    <xf numFmtId="0" fontId="12" fillId="0" borderId="3" xfId="0" applyFont="1" applyBorder="1" applyAlignment="1">
      <alignment horizontal="center" vertical="center"/>
    </xf>
    <xf numFmtId="0" fontId="12" fillId="0" borderId="5" xfId="0" applyFont="1" applyBorder="1" applyAlignment="1">
      <alignment horizontal="center" vertical="center"/>
    </xf>
    <xf numFmtId="0" fontId="5" fillId="2" borderId="8"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8" xfId="0" applyFont="1" applyFill="1" applyBorder="1" applyAlignment="1">
      <alignment horizontal="center" vertical="top"/>
    </xf>
    <xf numFmtId="0" fontId="5" fillId="2" borderId="9" xfId="0" applyFont="1" applyFill="1" applyBorder="1" applyAlignment="1">
      <alignment horizontal="center" vertical="top"/>
    </xf>
    <xf numFmtId="0" fontId="5" fillId="2" borderId="10" xfId="0" applyFont="1" applyFill="1" applyBorder="1" applyAlignment="1">
      <alignment horizontal="center" vertical="top"/>
    </xf>
    <xf numFmtId="0" fontId="8" fillId="0" borderId="24" xfId="1" applyFont="1" applyBorder="1" applyAlignment="1">
      <alignment horizontal="center" vertical="top"/>
    </xf>
    <xf numFmtId="0" fontId="8" fillId="0" borderId="0" xfId="1" applyFont="1" applyAlignment="1">
      <alignment horizontal="center" vertical="top"/>
    </xf>
    <xf numFmtId="0" fontId="8" fillId="0" borderId="25" xfId="1" applyFont="1" applyBorder="1" applyAlignment="1">
      <alignment horizontal="center" vertical="top"/>
    </xf>
    <xf numFmtId="0" fontId="8" fillId="0" borderId="6" xfId="1" applyFont="1" applyBorder="1" applyAlignment="1">
      <alignment horizontal="center" vertical="top"/>
    </xf>
    <xf numFmtId="0" fontId="8" fillId="0" borderId="7" xfId="1" applyFont="1" applyBorder="1" applyAlignment="1">
      <alignment horizontal="center" vertical="top"/>
    </xf>
    <xf numFmtId="0" fontId="9" fillId="0" borderId="17" xfId="1" applyFont="1" applyBorder="1" applyAlignment="1">
      <alignment horizontal="center" vertical="top"/>
    </xf>
    <xf numFmtId="0" fontId="9" fillId="0" borderId="18" xfId="1" applyFont="1" applyBorder="1" applyAlignment="1">
      <alignment horizontal="center" vertical="top"/>
    </xf>
    <xf numFmtId="0" fontId="9" fillId="0" borderId="19" xfId="1" applyFont="1" applyBorder="1" applyAlignment="1">
      <alignment horizontal="center" vertical="top"/>
    </xf>
    <xf numFmtId="0" fontId="8" fillId="0" borderId="17" xfId="1" applyFont="1" applyBorder="1" applyAlignment="1">
      <alignment horizontal="center" vertical="top"/>
    </xf>
    <xf numFmtId="0" fontId="8" fillId="0" borderId="18" xfId="1" applyFont="1" applyBorder="1" applyAlignment="1">
      <alignment horizontal="center" vertical="top"/>
    </xf>
    <xf numFmtId="0" fontId="8" fillId="0" borderId="21" xfId="1" applyFont="1" applyBorder="1" applyAlignment="1">
      <alignment horizontal="center" vertical="top"/>
    </xf>
    <xf numFmtId="0" fontId="8" fillId="0" borderId="22" xfId="1" applyFont="1" applyBorder="1" applyAlignment="1">
      <alignment horizontal="center" vertical="top"/>
    </xf>
    <xf numFmtId="0" fontId="8" fillId="0" borderId="23" xfId="1" applyFont="1" applyBorder="1" applyAlignment="1">
      <alignment horizontal="center" vertical="top"/>
    </xf>
    <xf numFmtId="0" fontId="8" fillId="0" borderId="0" xfId="0" applyFont="1" applyAlignment="1">
      <alignment horizontal="center"/>
    </xf>
    <xf numFmtId="0" fontId="9" fillId="0" borderId="0" xfId="0" applyFont="1" applyAlignment="1">
      <alignment horizontal="center"/>
    </xf>
    <xf numFmtId="0" fontId="0" fillId="0" borderId="0" xfId="0" applyNumberFormat="1"/>
    <xf numFmtId="0" fontId="0" fillId="0" borderId="0" xfId="0" applyNumberFormat="1" applyAlignment="1">
      <alignment horizontal="center"/>
    </xf>
    <xf numFmtId="0" fontId="0" fillId="0" borderId="0" xfId="0" applyNumberFormat="1" applyAlignment="1">
      <alignment horizontal="left" wrapText="1"/>
    </xf>
    <xf numFmtId="0" fontId="0" fillId="0" borderId="0" xfId="0" applyAlignment="1"/>
    <xf numFmtId="0" fontId="1" fillId="0" borderId="14" xfId="0" applyFont="1" applyBorder="1"/>
    <xf numFmtId="0" fontId="1" fillId="0" borderId="14" xfId="0" applyFont="1" applyBorder="1" applyAlignment="1">
      <alignment horizontal="center"/>
    </xf>
    <xf numFmtId="0" fontId="1" fillId="0" borderId="14" xfId="0" applyFont="1" applyBorder="1" applyAlignment="1">
      <alignment wrapText="1"/>
    </xf>
    <xf numFmtId="22" fontId="7" fillId="0" borderId="14" xfId="1" applyNumberFormat="1" applyFill="1" applyBorder="1"/>
    <xf numFmtId="0" fontId="7" fillId="0" borderId="14" xfId="1" applyFill="1" applyBorder="1"/>
    <xf numFmtId="0" fontId="7" fillId="0" borderId="14" xfId="1" applyNumberFormat="1" applyFill="1" applyBorder="1"/>
    <xf numFmtId="0" fontId="7" fillId="0" borderId="14" xfId="1" applyFill="1" applyBorder="1" applyAlignment="1">
      <alignment horizontal="center"/>
    </xf>
    <xf numFmtId="0" fontId="7" fillId="0" borderId="0" xfId="1" applyFill="1" applyAlignment="1">
      <alignment horizontal="center" vertical="center"/>
    </xf>
    <xf numFmtId="0" fontId="7" fillId="0" borderId="14" xfId="1" applyNumberFormat="1" applyFill="1" applyBorder="1" applyAlignment="1">
      <alignment horizontal="center"/>
    </xf>
    <xf numFmtId="0" fontId="7" fillId="0" borderId="14" xfId="1" applyFill="1" applyBorder="1" applyAlignment="1">
      <alignment wrapText="1"/>
    </xf>
    <xf numFmtId="22" fontId="7" fillId="0" borderId="0" xfId="1" applyNumberFormat="1" applyFill="1"/>
  </cellXfs>
  <cellStyles count="2">
    <cellStyle name="Standaard" xfId="0" builtinId="0"/>
    <cellStyle name="Standaard 2" xfId="1" xr:uid="{F19B0B72-0ABE-41BD-B88E-C05ECC626655}"/>
  </cellStyles>
  <dxfs count="859">
    <dxf>
      <numFmt numFmtId="27" formatCode="dd/mm/yyyy\ hh:mm"/>
    </dxf>
    <dxf>
      <numFmt numFmtId="27" formatCode="dd/mm/yyyy\ hh:mm"/>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center" textRotation="0" wrapText="0" indent="0" justifyLastLine="0" shrinkToFit="0" readingOrder="0"/>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border diagonalUp="0" diagonalDown="0" outline="0">
        <left style="thin">
          <color indexed="64"/>
        </left>
        <right style="thin">
          <color indexed="64"/>
        </right>
        <top/>
        <bottom/>
      </border>
    </dxf>
    <dxf>
      <numFmt numFmtId="27" formatCode="dd/mm/yyyy\ hh:mm"/>
      <fill>
        <patternFill patternType="none">
          <fgColor indexed="64"/>
          <bgColor indexed="65"/>
        </patternFill>
      </fill>
    </dxf>
    <dxf>
      <fill>
        <patternFill patternType="none">
          <fgColor indexed="64"/>
          <bgColor indexed="65"/>
        </patternFill>
      </fill>
      <alignment horizontal="general" vertical="bottom" textRotation="0" wrapText="1" indent="0" justifyLastLine="0" shrinkToFit="0" readingOrder="0"/>
      <border diagonalUp="0" diagonalDown="0">
        <left style="thin">
          <color indexed="64"/>
        </left>
        <right style="thin">
          <color indexed="64"/>
        </right>
        <top/>
        <bottom/>
        <vertical/>
        <horizontal/>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numFmt numFmtId="0" formatCode="General"/>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center" textRotation="0" wrapText="0" indent="0" justifyLastLine="0" shrinkToFit="0" readingOrder="0"/>
    </dxf>
    <dxf>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bottom/>
        <vertical/>
        <horizontal/>
      </border>
    </dxf>
    <dxf>
      <fill>
        <patternFill patternType="none">
          <fgColor indexed="64"/>
          <bgColor indexed="65"/>
        </patternFill>
      </fill>
      <border diagonalUp="0" diagonalDown="0">
        <left style="thin">
          <color indexed="64"/>
        </left>
        <right style="thin">
          <color indexed="64"/>
        </right>
        <top/>
        <bottom/>
        <vertical/>
        <horizontal/>
      </border>
    </dxf>
    <dxf>
      <numFmt numFmtId="0" formatCode="General"/>
      <fill>
        <patternFill patternType="none">
          <fgColor indexed="64"/>
          <bgColor indexed="65"/>
        </patternFill>
      </fill>
      <border diagonalUp="0" diagonalDown="0">
        <left style="thin">
          <color indexed="64"/>
        </left>
        <right style="thin">
          <color indexed="64"/>
        </right>
        <top/>
        <bottom/>
        <vertical/>
        <horizontal/>
      </border>
    </dxf>
    <dxf>
      <fill>
        <patternFill patternType="none">
          <fgColor indexed="64"/>
          <bgColor indexed="65"/>
        </patternFill>
      </fill>
      <border diagonalUp="0" diagonalDown="0">
        <left style="thin">
          <color indexed="64"/>
        </left>
        <right style="thin">
          <color indexed="64"/>
        </right>
        <top/>
        <bottom/>
        <vertical/>
        <horizontal/>
      </border>
    </dxf>
    <dxf>
      <numFmt numFmtId="27" formatCode="dd/mm/yyyy\ hh:mm"/>
      <fill>
        <patternFill patternType="none">
          <fgColor indexed="64"/>
          <bgColor indexed="65"/>
        </patternFill>
      </fill>
      <border diagonalUp="0" diagonalDown="0">
        <left style="thin">
          <color indexed="64"/>
        </left>
        <right style="thin">
          <color indexed="64"/>
        </right>
        <top/>
        <bottom/>
        <vertical/>
        <horizontal/>
      </border>
    </dxf>
    <dxf>
      <numFmt numFmtId="0" formatCode="General"/>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2"/>
        <color theme="1"/>
        <name val="Calibri"/>
        <family val="2"/>
        <scheme val="minor"/>
      </font>
      <alignment horizontal="general" vertical="bottom" textRotation="0" wrapText="1"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27" formatCode="dd/mm/yyyy\ hh:mm"/>
    </dxf>
    <dxf>
      <numFmt numFmtId="27" formatCode="dd/mm/yyyy\ hh:mm"/>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left" vertical="bottom" textRotation="0" wrapText="1"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0" formatCode="General"/>
      <alignment horizontal="center"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27" formatCode="dd/mm/yyyy\ hh:mm"/>
    </dxf>
    <dxf>
      <numFmt numFmtId="27" formatCode="dd/mm/yyyy\ hh:mm"/>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alignment horizontal="general" vertical="bottom" textRotation="0" wrapText="1"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alignment horizontal="center" vertical="bottom" textRotation="0" wrapText="0" indent="0" justifyLastLine="0" shrinkToFit="0" readingOrder="0"/>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numFmt numFmtId="0" formatCode="General"/>
      <border diagonalUp="0" diagonalDown="0">
        <left style="thin">
          <color indexed="64"/>
        </left>
        <right style="thin">
          <color indexed="64"/>
        </right>
        <top/>
        <bottom/>
        <vertical/>
        <horizontal/>
      </border>
    </dxf>
    <dxf>
      <border diagonalUp="0" diagonalDown="0">
        <left style="thin">
          <color indexed="64"/>
        </left>
        <right style="thin">
          <color indexed="64"/>
        </right>
        <top/>
        <bottom/>
        <vertical/>
        <horizontal/>
      </border>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27" formatCode="dd/mm/yyyy\ hh:mm"/>
    </dxf>
    <dxf>
      <numFmt numFmtId="27" formatCode="dd/mm/yyyy\ hh:mm"/>
    </dxf>
    <dxf>
      <numFmt numFmtId="0" formatCode="General"/>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27" formatCode="dd/mm/yyyy\ hh:mm"/>
    </dxf>
    <dxf>
      <numFmt numFmtId="27" formatCode="dd/mm/yyyy\ hh:mm"/>
    </dxf>
    <dxf>
      <numFmt numFmtId="0" formatCode="General"/>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general"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27" formatCode="dd/mm/yyyy\ hh:mm"/>
    </dxf>
    <dxf>
      <numFmt numFmtId="27" formatCode="dd/mm/yyyy\ hh:mm"/>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left" vertical="bottom" textRotation="0" wrapText="1"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dxf>
    <dxf>
      <numFmt numFmtId="0" formatCode="General"/>
    </dxf>
    <dxf>
      <numFmt numFmtId="0" formatCode="General"/>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lef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7" formatCode="dd/mm/yyyy\ hh:mm"/>
    </dxf>
    <dxf>
      <numFmt numFmtId="27" formatCode="dd/mm/yyyy\ hh:mm"/>
    </dxf>
    <dxf>
      <alignment horizontal="general"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numFmt numFmtId="0" formatCode="General"/>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27" formatCode="dd/mm/yyyy\ hh:mm"/>
    </dxf>
    <dxf>
      <numFmt numFmtId="19" formatCode="dd/mm/yyyy"/>
    </dxf>
    <dxf>
      <font>
        <b val="0"/>
        <i val="0"/>
        <strike val="0"/>
        <condense val="0"/>
        <extend val="0"/>
        <outline val="0"/>
        <shadow val="0"/>
        <u val="none"/>
        <vertAlign val="baseline"/>
        <sz val="11"/>
        <color auto="1"/>
        <name val="Calibri"/>
        <family val="2"/>
        <scheme val="minor"/>
      </font>
      <alignment horizontal="general" vertical="bottom" textRotation="0" wrapText="1"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center" textRotation="9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0"/>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30" formatCode="@"/>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left"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bottom" textRotation="0" wrapText="0" indent="0" justifyLastLine="0" shrinkToFit="0" readingOrder="0"/>
    </dxf>
    <dxf>
      <alignment horizontal="right"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border diagonalUp="0" diagonalDown="0" outline="0">
        <left style="thin">
          <color indexed="64"/>
        </left>
        <right style="thin">
          <color indexed="64"/>
        </right>
        <top/>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numFmt numFmtId="1" formatCode="0"/>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rgb="FF000000"/>
        <name val="Calibri"/>
        <family val="2"/>
        <scheme val="minor"/>
      </font>
      <alignment horizontal="center" vertical="bottom" textRotation="0" wrapText="0" indent="0" justifyLastLine="0" shrinkToFit="0" readingOrder="0"/>
      <border diagonalUp="0" diagonalDown="0" outline="0">
        <left style="thin">
          <color indexed="64"/>
        </left>
        <right style="thin">
          <color indexed="64"/>
        </right>
        <top style="double">
          <color rgb="FF70AD47"/>
        </top>
        <bottom style="thin">
          <color rgb="FFA9D08E"/>
        </bottom>
      </border>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center" textRotation="0" wrapText="0" indent="0" justifyLastLine="0" shrinkToFit="0" readingOrder="0"/>
    </dxf>
    <dxf>
      <alignment horizontal="center" vertical="bottom" textRotation="0" wrapText="0" indent="0" justifyLastLine="0" shrinkToFit="0" readingOrder="0"/>
    </dxf>
    <dxf>
      <alignment horizontal="center" vertical="bottom" textRotation="0" wrapText="1"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strike val="0"/>
        <outline val="0"/>
        <shadow val="0"/>
        <u val="none"/>
        <vertAlign val="baseline"/>
        <sz val="11"/>
        <color auto="1"/>
        <name val="Calibri"/>
        <family val="2"/>
        <scheme val="minor"/>
      </font>
    </dxf>
    <dxf>
      <font>
        <strike val="0"/>
        <outline val="0"/>
        <shadow val="0"/>
        <u val="none"/>
        <vertAlign val="baseline"/>
        <sz val="12"/>
        <color auto="1"/>
        <name val="Calibri"/>
        <family val="2"/>
        <scheme val="minor"/>
      </font>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numFmt numFmtId="0" formatCode="General"/>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numFmt numFmtId="0" formatCode="General"/>
    </dxf>
    <dxf>
      <numFmt numFmtId="0" formatCode="General"/>
    </dxf>
    <dxf>
      <numFmt numFmtId="0" formatCode="General"/>
    </dxf>
    <dxf>
      <numFmt numFmtId="0" formatCode="General"/>
    </dxf>
    <dxf>
      <alignment horizontal="center" vertical="bottom" textRotation="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alignment horizontal="center" vertical="bottom" textRotation="0" wrapText="0" indent="0" justifyLastLine="0" shrinkToFit="0" readingOrder="0"/>
    </dxf>
    <dxf>
      <font>
        <b val="0"/>
      </font>
      <fill>
        <patternFill patternType="none">
          <fgColor indexed="64"/>
          <bgColor auto="1"/>
        </patternFill>
      </fill>
      <alignment horizontal="center" vertical="top"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
      <alignment horizontal="center" vertical="bottom" textRotation="0" wrapText="0" indent="0" justifyLastLine="0" shrinkToFit="0" readingOrder="0"/>
    </dxf>
    <dxf>
      <font>
        <b val="0"/>
        <i val="0"/>
        <strike val="0"/>
        <condense val="0"/>
        <extend val="0"/>
        <outline val="0"/>
        <shadow val="0"/>
        <u val="none"/>
        <vertAlign val="baseline"/>
        <sz val="11"/>
        <color auto="1"/>
        <name val="Calibri"/>
        <family val="2"/>
        <scheme val="minor"/>
      </font>
      <alignment horizontal="center" vertical="top" textRotation="9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queryTables/queryTable1.xml><?xml version="1.0" encoding="utf-8"?>
<queryTable xmlns="http://schemas.openxmlformats.org/spreadsheetml/2006/main" xmlns:mc="http://schemas.openxmlformats.org/markup-compatibility/2006" xmlns:xr16="http://schemas.microsoft.com/office/spreadsheetml/2017/revision16" mc:Ignorable="xr16" name="ExternalData_1" connectionId="10" xr16:uid="{6537445D-4453-4DB0-8316-9E9DEF947177}" autoFormatId="16" applyNumberFormats="0" applyBorderFormats="0" applyFontFormats="0" applyPatternFormats="0" applyAlignmentFormats="0" applyWidthHeightFormats="0">
  <queryTableRefresh nextId="118">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10" name="Junioren korps 1" tableColumnId="10"/>
      <queryTableField id="111" name="Junioren korps 2" tableColumnId="11"/>
      <queryTableField id="112" name="Aspiranten korps 1" tableColumnId="26"/>
      <queryTableField id="113"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78" name="Groepen, teams, ensembles en duo's" tableColumnId="31"/>
      <queryTableField id="27" name="Senioren" tableColumnId="27"/>
      <queryTableField id="79" name="Jong volwassene" tableColumnId="32"/>
      <queryTableField id="28" name="Junioren" tableColumnId="28"/>
      <queryTableField id="29" name="Aspiranten" tableColumnId="29"/>
      <queryTableField id="80" name="Opgegeven senioren" tableColumnId="35"/>
      <queryTableField id="81" name="Opgegeven jong volwassene" tableColumnId="37"/>
      <queryTableField id="82" name="Opgegeven junioren" tableColumnId="39"/>
      <queryTableField id="83" name="Opgegeven aspiranten" tableColumnId="41"/>
      <queryTableField id="33" name="Marketentsters" tableColumnId="33"/>
      <queryTableField id="34" name="Luchtgeweer" tableColumnId="34"/>
      <queryTableField id="84" name="Aantal luchtgeweerschutters" tableColumnId="42"/>
      <queryTableField id="36" name="Luchtpistool" tableColumnId="36"/>
      <queryTableField id="85" name="Aantal luchtpistoolschutters" tableColumnId="43"/>
      <queryTableField id="40" name="Handboog" tableColumnId="40"/>
      <queryTableField id="86" name="Aantal handboogschutters" tableColumnId="44"/>
      <queryTableField id="38" name="Kruisboog" tableColumnId="38"/>
      <queryTableField id="87" name="Aantal kruisboogschutters" tableColumnId="71"/>
      <queryTableField id="88" name="Luchtgeweer jeugd niet ouder dan 17 jaar." tableColumnId="72"/>
      <queryTableField id="89" name="Aantal korpsen" tableColumnId="73"/>
      <queryTableField id="90"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91"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DeletedFields count="2">
      <deletedField name="(HB) Berekend aantal opgegeven handboog schutters_272"/>
      <deletedField name="(LGJ) aantal jeugdkorpsen luchtgeweer in het profiel"/>
    </queryTableDeletedFields>
  </queryTableRefresh>
</queryTable>
</file>

<file path=xl/queryTables/queryTable2.xml><?xml version="1.0" encoding="utf-8"?>
<queryTable xmlns="http://schemas.openxmlformats.org/spreadsheetml/2006/main" xmlns:mc="http://schemas.openxmlformats.org/markup-compatibility/2006" xmlns:xr16="http://schemas.microsoft.com/office/spreadsheetml/2017/revision16" mc:Ignorable="xr16" name="ExternalData_1" connectionId="8" xr16:uid="{4116548B-C241-4E1D-B8B2-958C0EBF0029}" autoFormatId="16" applyNumberFormats="0" applyBorderFormats="0" applyFontFormats="0" applyPatternFormats="0" applyAlignmentFormats="0" applyWidthHeightFormats="0">
  <queryTableRefresh nextId="128">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20" name="Junioren korps 1" tableColumnId="10"/>
      <queryTableField id="121" name="Junioren korps 2" tableColumnId="11"/>
      <queryTableField id="122" name="Aspiranten korps 1" tableColumnId="26"/>
      <queryTableField id="123"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80" name="Groepen, teams, ensembles en duo's" tableColumnId="31"/>
      <queryTableField id="27" name="Senioren" tableColumnId="27"/>
      <queryTableField id="81" name="Jong volwassene" tableColumnId="32"/>
      <queryTableField id="28" name="Junioren" tableColumnId="28"/>
      <queryTableField id="29" name="Aspiranten" tableColumnId="29"/>
      <queryTableField id="82" name="Opgegeven senioren" tableColumnId="35"/>
      <queryTableField id="83" name="Opgegeven jong volwassene" tableColumnId="37"/>
      <queryTableField id="84" name="Opgegeven junioren" tableColumnId="39"/>
      <queryTableField id="85" name="Opgegeven aspiranten" tableColumnId="41"/>
      <queryTableField id="33" name="Marketentsters" tableColumnId="33"/>
      <queryTableField id="34" name="Luchtgeweer" tableColumnId="34"/>
      <queryTableField id="86" name="Aantal luchtgeweerschutters" tableColumnId="42"/>
      <queryTableField id="36" name="Luchtpistool" tableColumnId="36"/>
      <queryTableField id="87" name="Aantal luchtpistoolschutters" tableColumnId="43"/>
      <queryTableField id="40" name="Handboog" tableColumnId="40"/>
      <queryTableField id="88" name="Aantal handboogschutters" tableColumnId="44"/>
      <queryTableField id="38" name="Kruisboog" tableColumnId="38"/>
      <queryTableField id="89" name="Aantal kruisboogschutters" tableColumnId="71"/>
      <queryTableField id="90" name="Luchtgeweer jeugd niet ouder dan 17 jaar." tableColumnId="72"/>
      <queryTableField id="91" name="Aantal korpsen" tableColumnId="73"/>
      <queryTableField id="92"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93"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Refresh>
</queryTable>
</file>

<file path=xl/queryTables/queryTable3.xml><?xml version="1.0" encoding="utf-8"?>
<queryTable xmlns="http://schemas.openxmlformats.org/spreadsheetml/2006/main" xmlns:mc="http://schemas.openxmlformats.org/markup-compatibility/2006" xmlns:xr16="http://schemas.microsoft.com/office/spreadsheetml/2017/revision16" mc:Ignorable="xr16" name="ExternalData_1" connectionId="7" xr16:uid="{5B19EFD5-E340-4CAD-A90F-3AF19A96AD11}" autoFormatId="16" applyNumberFormats="0" applyBorderFormats="0" applyFontFormats="0" applyPatternFormats="0" applyAlignmentFormats="0" applyWidthHeightFormats="0">
  <queryTableRefresh nextId="126">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18" name="Junioren korps 1" tableColumnId="10"/>
      <queryTableField id="119" name="Junioren korps 2" tableColumnId="11"/>
      <queryTableField id="120" name="Aspiranten korps 1" tableColumnId="26"/>
      <queryTableField id="121"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86" name="Groepen, teams, ensembles en duo's" tableColumnId="31"/>
      <queryTableField id="27" name="Senioren" tableColumnId="27"/>
      <queryTableField id="87" name="Jong volwassene" tableColumnId="32"/>
      <queryTableField id="28" name="Junioren" tableColumnId="28"/>
      <queryTableField id="29" name="Aspiranten" tableColumnId="29"/>
      <queryTableField id="88" name="Opgegeven senioren" tableColumnId="35"/>
      <queryTableField id="89" name="Opgegeven jong volwassene" tableColumnId="37"/>
      <queryTableField id="90" name="Opgegeven junioren" tableColumnId="39"/>
      <queryTableField id="91" name="Opgegeven aspiranten" tableColumnId="41"/>
      <queryTableField id="33" name="Marketentsters" tableColumnId="33"/>
      <queryTableField id="34" name="Luchtgeweer" tableColumnId="34"/>
      <queryTableField id="92" name="Aantal luchtgeweerschutters" tableColumnId="42"/>
      <queryTableField id="36" name="Luchtpistool" tableColumnId="36"/>
      <queryTableField id="93" name="Aantal luchtpistoolschutters" tableColumnId="43"/>
      <queryTableField id="40" name="Handboog" tableColumnId="40"/>
      <queryTableField id="94" name="Aantal handboogschutters" tableColumnId="44"/>
      <queryTableField id="38" name="Kruisboog" tableColumnId="38"/>
      <queryTableField id="95" name="Aantal kruisboogschutters" tableColumnId="71"/>
      <queryTableField id="96" name="Luchtgeweer jeugd niet ouder dan 17 jaar." tableColumnId="72"/>
      <queryTableField id="97" name="Aantal korpsen" tableColumnId="73"/>
      <queryTableField id="98"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99"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Refresh>
</queryTable>
</file>

<file path=xl/queryTables/queryTable4.xml><?xml version="1.0" encoding="utf-8"?>
<queryTable xmlns="http://schemas.openxmlformats.org/spreadsheetml/2006/main" xmlns:mc="http://schemas.openxmlformats.org/markup-compatibility/2006" xmlns:xr16="http://schemas.microsoft.com/office/spreadsheetml/2017/revision16" mc:Ignorable="xr16" name="ExternalData_1" connectionId="6" xr16:uid="{D0B5E214-FED8-4DC1-95B8-1899AE77FF69}" autoFormatId="16" applyNumberFormats="0" applyBorderFormats="0" applyFontFormats="0" applyPatternFormats="0" applyAlignmentFormats="0" applyWidthHeightFormats="0">
  <queryTableRefresh nextId="120">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12" name="Junioren korps 1" tableColumnId="10"/>
      <queryTableField id="113" name="Junioren korps 2" tableColumnId="11"/>
      <queryTableField id="114" name="Aspiranten korps 1" tableColumnId="26"/>
      <queryTableField id="115"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80" name="Groepen, teams, ensembles en duo's" tableColumnId="31"/>
      <queryTableField id="27" name="Senioren" tableColumnId="27"/>
      <queryTableField id="81" name="Jong volwassene" tableColumnId="32"/>
      <queryTableField id="28" name="Junioren" tableColumnId="28"/>
      <queryTableField id="29" name="Aspiranten" tableColumnId="29"/>
      <queryTableField id="82" name="Opgegeven senioren" tableColumnId="35"/>
      <queryTableField id="83" name="Opgegeven jong volwassene" tableColumnId="37"/>
      <queryTableField id="84" name="Opgegeven junioren" tableColumnId="39"/>
      <queryTableField id="85" name="Opgegeven aspiranten" tableColumnId="41"/>
      <queryTableField id="33" name="Marketentsters" tableColumnId="33"/>
      <queryTableField id="34" name="Luchtgeweer" tableColumnId="34"/>
      <queryTableField id="86" name="Aantal luchtgeweerschutters" tableColumnId="42"/>
      <queryTableField id="36" name="Luchtpistool" tableColumnId="36"/>
      <queryTableField id="87" name="Aantal luchtpistoolschutters" tableColumnId="43"/>
      <queryTableField id="40" name="Handboog" tableColumnId="40"/>
      <queryTableField id="88" name="Aantal handboogschutters" tableColumnId="44"/>
      <queryTableField id="38" name="Kruisboog" tableColumnId="38"/>
      <queryTableField id="89" name="Aantal kruisboogschutters" tableColumnId="71"/>
      <queryTableField id="90" name="Luchtgeweer jeugd niet ouder dan 17 jaar." tableColumnId="72"/>
      <queryTableField id="91" name="Aantal korpsen" tableColumnId="73"/>
      <queryTableField id="92"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93"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Refresh>
</queryTable>
</file>

<file path=xl/queryTables/queryTable5.xml><?xml version="1.0" encoding="utf-8"?>
<queryTable xmlns="http://schemas.openxmlformats.org/spreadsheetml/2006/main" xmlns:mc="http://schemas.openxmlformats.org/markup-compatibility/2006" xmlns:xr16="http://schemas.microsoft.com/office/spreadsheetml/2017/revision16" mc:Ignorable="xr16" name="ExternalData_1" connectionId="9" xr16:uid="{1774D010-A1C6-4AFF-A232-696AEE801FDB}" autoFormatId="16" applyNumberFormats="0" applyBorderFormats="0" applyFontFormats="0" applyPatternFormats="0" applyAlignmentFormats="0" applyWidthHeightFormats="0">
  <queryTableRefresh nextId="114">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06" name="Junioren korps 1" tableColumnId="10"/>
      <queryTableField id="107" name="Junioren korps 2" tableColumnId="11"/>
      <queryTableField id="108" name="Aspiranten korps 1" tableColumnId="26"/>
      <queryTableField id="109"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74" name="Groepen, teams, ensembles en duo's" tableColumnId="31"/>
      <queryTableField id="27" name="Senioren" tableColumnId="27"/>
      <queryTableField id="75" name="Jong volwassene" tableColumnId="32"/>
      <queryTableField id="28" name="Junioren" tableColumnId="28"/>
      <queryTableField id="29" name="Aspiranten" tableColumnId="29"/>
      <queryTableField id="76" name="Opgegeven senioren" tableColumnId="35"/>
      <queryTableField id="77" name="Opgegeven jong volwassene" tableColumnId="37"/>
      <queryTableField id="78" name="Opgegeven junioren" tableColumnId="39"/>
      <queryTableField id="79" name="Opgegeven aspiranten" tableColumnId="41"/>
      <queryTableField id="33" name="Marketentsters" tableColumnId="33"/>
      <queryTableField id="34" name="Luchtgeweer" tableColumnId="34"/>
      <queryTableField id="80" name="Aantal luchtgeweerschutters" tableColumnId="42"/>
      <queryTableField id="36" name="Luchtpistool" tableColumnId="36"/>
      <queryTableField id="81" name="Aantal luchtpistoolschutters" tableColumnId="43"/>
      <queryTableField id="40" name="Handboog" tableColumnId="40"/>
      <queryTableField id="82" name="Aantal handboogschutters" tableColumnId="44"/>
      <queryTableField id="38" name="Kruisboog" tableColumnId="38"/>
      <queryTableField id="83" name="Aantal kruisboogschutters" tableColumnId="71"/>
      <queryTableField id="84" name="Luchtgeweer jeugd niet ouder dan 17 jaar." tableColumnId="72"/>
      <queryTableField id="85" name="Aantal korpsen" tableColumnId="73"/>
      <queryTableField id="86"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87"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Refresh>
</queryTable>
</file>

<file path=xl/queryTables/queryTable6.xml><?xml version="1.0" encoding="utf-8"?>
<queryTable xmlns="http://schemas.openxmlformats.org/spreadsheetml/2006/main" xmlns:mc="http://schemas.openxmlformats.org/markup-compatibility/2006" xmlns:xr16="http://schemas.microsoft.com/office/spreadsheetml/2017/revision16" mc:Ignorable="xr16" name="ExterneGegevens_4" connectionId="11" xr16:uid="{E848E844-2661-4E26-B55F-7E83745BD4BB}" autoFormatId="16" applyNumberFormats="0" applyBorderFormats="0" applyFontFormats="0" applyPatternFormats="0" applyAlignmentFormats="0" applyWidthHeightFormats="0">
  <queryTableRefresh nextId="112">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04" name="Junioren korps 1" tableColumnId="10"/>
      <queryTableField id="105" name="Junioren korps 2" tableColumnId="11"/>
      <queryTableField id="106" name="Aspiranten korps 1" tableColumnId="26"/>
      <queryTableField id="107"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72" name="Groepen, teams, ensembles en duo's" tableColumnId="31"/>
      <queryTableField id="27" name="Senioren" tableColumnId="27"/>
      <queryTableField id="73" name="Jong volwassene" tableColumnId="32"/>
      <queryTableField id="28" name="Junioren" tableColumnId="28"/>
      <queryTableField id="29" name="Aspiranten" tableColumnId="29"/>
      <queryTableField id="74" name="Opgegeven senioren" tableColumnId="38"/>
      <queryTableField id="75" name="Opgegeven jong volwassene" tableColumnId="39"/>
      <queryTableField id="76" name="Opgegeven junioren" tableColumnId="66"/>
      <queryTableField id="77" name="Opgegeven aspiranten" tableColumnId="67"/>
      <queryTableField id="33" name="Marketentsters" tableColumnId="33"/>
      <queryTableField id="34" name="Luchtgeweer" tableColumnId="34"/>
      <queryTableField id="78" name="Aantal luchtgeweerschutters" tableColumnId="68"/>
      <queryTableField id="35" name="Luchtpistool" tableColumnId="35"/>
      <queryTableField id="79" name="Aantal luchtpistoolschutters" tableColumnId="69"/>
      <queryTableField id="37" name="Handboog" tableColumnId="37"/>
      <queryTableField id="80" name="Aantal handboogschutters" tableColumnId="70"/>
      <queryTableField id="36" name="Kruisboog" tableColumnId="36"/>
      <queryTableField id="81" name="Aantal kruisboogschutters" tableColumnId="71"/>
      <queryTableField id="82" name="Luchtgeweer jeugd niet ouder dan 17 jaar." tableColumnId="72"/>
      <queryTableField id="83" name="Aantal korpsen" tableColumnId="73"/>
      <queryTableField id="84" name="Opgegeven jeugdkorpsen LG" tableColumnId="74"/>
      <queryTableField id="40" name="Totaal aantal deelnemers" tableColumnId="40"/>
      <queryTableField id="41" name="Waarvan aantal jeugd (t/m 15 jaar)" tableColumnId="41"/>
      <queryTableField id="42" name="Kanon etc." tableColumnId="42"/>
      <queryTableField id="43" name="Paarden en/of koetsen" tableColumnId="43"/>
      <queryTableField id="44" name="Toelichting/opmerkingen" tableColumnId="44"/>
      <queryTableField id="45" name="Inzending-ID" tableColumnId="45"/>
      <queryTableField id="46" name="Inzenddatum" tableColumnId="46"/>
      <queryTableField id="85" name="Date Updated" tableColumnId="75"/>
      <queryTableField id="47" name="Naam van het hoofdkorps" tableColumnId="47"/>
      <queryTableField id="48" name="Zal op treden als (hoofdkorps)" tableColumnId="48"/>
      <queryTableField id="49" name="Vorm van twee muziekwerken (hoofdkorps)" tableColumnId="49"/>
      <queryTableField id="50" name="Zal uitkomen in de: (hoofdkorps)" tableColumnId="50"/>
      <queryTableField id="51" name="Muziekwerk1 (hoofdkorps)" tableColumnId="51"/>
      <queryTableField id="52" name="Muziekwerk2 (hoofdkorps)" tableColumnId="52"/>
      <queryTableField id="53" name="Korps bestaat uit ... deelnemers (hoofdkorps)" tableColumnId="53"/>
      <queryTableField id="54" name="Naam van het 2e korps" tableColumnId="54"/>
      <queryTableField id="55" name="Zal op treden als (2e korps)" tableColumnId="55"/>
      <queryTableField id="56" name="Vorm van twee muziekwerken (2e korps)" tableColumnId="56"/>
      <queryTableField id="57" name="Zal uitkomen in de: (2e korps)" tableColumnId="57"/>
      <queryTableField id="58" name="Muziekwerk1 (2e korps)" tableColumnId="58"/>
      <queryTableField id="59" name="Muziekwerk2 (2e korps)" tableColumnId="59"/>
      <queryTableField id="60" name="Korps bestaat uit ... deelnemers (2e korps)" tableColumnId="60"/>
      <queryTableField id="64" name="Mechanische muziek" tableColumnId="64"/>
      <queryTableField id="61" name="Onderdelen" tableColumnId="61"/>
      <queryTableField id="62" name="Secties" tableColumnId="62"/>
      <queryTableField id="63" name="Leeftijdscategorie" tableColumnId="63"/>
      <queryTableField id="65" name="Aantal opgegeven majorettes" tableColumnId="65"/>
    </queryTableFields>
  </queryTableRefresh>
</queryTable>
</file>

<file path=xl/queryTables/queryTable7.xml><?xml version="1.0" encoding="utf-8"?>
<queryTable xmlns="http://schemas.openxmlformats.org/spreadsheetml/2006/main" xmlns:mc="http://schemas.openxmlformats.org/markup-compatibility/2006" xmlns:xr16="http://schemas.microsoft.com/office/spreadsheetml/2017/revision16" mc:Ignorable="xr16" name="ExternalData_1" connectionId="4" xr16:uid="{0C2B39FD-CD34-4C45-8EFD-FD45938D9BB9}" autoFormatId="16" applyNumberFormats="0" applyBorderFormats="0" applyFontFormats="0" applyPatternFormats="0" applyAlignmentFormats="0" applyWidthHeightFormats="0">
  <queryTableRefresh nextId="114">
    <queryTableFields count="75">
      <queryTableField id="1" name="Kringdag" tableColumnId="1"/>
      <queryTableField id="2" name="Ver.nr" tableColumnId="2"/>
      <queryTableField id="3" name="Naam vereniging" tableColumnId="3"/>
      <queryTableField id="4" name="Delegatie" tableColumnId="4"/>
      <queryTableField id="5" name="Muziekkorps bij mars en defilé" tableColumnId="5"/>
      <queryTableField id="6" name="Deeln. jeugdkoningschieten" tableColumnId="6"/>
      <queryTableField id="7" name="Maj. Senioren jureren bij mars" tableColumnId="7"/>
      <queryTableField id="8" name="Maj. Jeugd jureren bij mars" tableColumnId="8"/>
      <queryTableField id="9" name="Korps senioren" tableColumnId="9"/>
      <queryTableField id="106" name="Junioren korps 1" tableColumnId="10"/>
      <queryTableField id="107" name="Junioren korps 2" tableColumnId="11"/>
      <queryTableField id="108" name="Aspiranten korps 1" tableColumnId="26"/>
      <queryTableField id="109" name="Aspiranten korps 2" tableColumnId="30"/>
      <queryTableField id="12" name="Acrobatisch senioren" tableColumnId="12"/>
      <queryTableField id="13" name="Acrobatisch junioren" tableColumnId="13"/>
      <queryTableField id="14" name="Acrobatisch aspiranten" tableColumnId="14"/>
      <queryTableField id="15" name="Show senioren" tableColumnId="15"/>
      <queryTableField id="16" name="Show junioren" tableColumnId="16"/>
      <queryTableField id="17" name="Show aspiranten" tableColumnId="17"/>
      <queryTableField id="18" name="Senioren indiv." tableColumnId="18"/>
      <queryTableField id="19" name="Junioren indiv." tableColumnId="19"/>
      <queryTableField id="20" name="Aspiranten indiv." tableColumnId="20"/>
      <queryTableField id="21" name="Sen. ind opgegeven namen" tableColumnId="21"/>
      <queryTableField id="22" name="Jun. ind opgegeven namen" tableColumnId="22"/>
      <queryTableField id="23" name="Asp. ind opgegeven namen" tableColumnId="23"/>
      <queryTableField id="24" name="Hoofdkorps" tableColumnId="24"/>
      <queryTableField id="25" name="2e korps" tableColumnId="25"/>
      <queryTableField id="74" name="Groepen, teams, ensembles en duo's" tableColumnId="31"/>
      <queryTableField id="27" name="Senioren" tableColumnId="27"/>
      <queryTableField id="75" name="Jong volwassene" tableColumnId="32"/>
      <queryTableField id="28" name="Junioren" tableColumnId="28"/>
      <queryTableField id="29" name="Aspiranten" tableColumnId="29"/>
      <queryTableField id="76" name="Opgegeven senioren" tableColumnId="35"/>
      <queryTableField id="77" name="Opgegeven jong volwassene" tableColumnId="37"/>
      <queryTableField id="78" name="Opgegeven junioren" tableColumnId="39"/>
      <queryTableField id="79" name="Opgegeven aspiranten" tableColumnId="41"/>
      <queryTableField id="33" name="Marketentsters" tableColumnId="33"/>
      <queryTableField id="34" name="Luchtgeweer" tableColumnId="34"/>
      <queryTableField id="80" name="Aantal luchtgeweerschutters" tableColumnId="42"/>
      <queryTableField id="36" name="Luchtpistool" tableColumnId="36"/>
      <queryTableField id="81" name="Aantal luchtpistoolschutters" tableColumnId="43"/>
      <queryTableField id="40" name="Handboog" tableColumnId="40"/>
      <queryTableField id="82" name="Aantal handboogschutters" tableColumnId="44"/>
      <queryTableField id="38" name="Kruisboog" tableColumnId="38"/>
      <queryTableField id="83" name="Aantal kruisboogschutters" tableColumnId="71"/>
      <queryTableField id="84" name="Luchtgeweer jeugd niet ouder dan 17 jaar." tableColumnId="72"/>
      <queryTableField id="85" name="Aantal korpsen" tableColumnId="73"/>
      <queryTableField id="86" name="Opgegeven jeugdkorpsen LG" tableColumnId="74"/>
      <queryTableField id="45" name="Totaal aantal deelnemers" tableColumnId="45"/>
      <queryTableField id="46" name="Waarvan aantal jeugd (t/m 15 jaar)" tableColumnId="46"/>
      <queryTableField id="47" name="Kanon etc." tableColumnId="47"/>
      <queryTableField id="48" name="Paarden en/of koetsen" tableColumnId="48"/>
      <queryTableField id="49" name="Toelichting/opmerkingen" tableColumnId="49"/>
      <queryTableField id="50" name="Inzending-ID" tableColumnId="50"/>
      <queryTableField id="51" name="Inzenddatum" tableColumnId="51"/>
      <queryTableField id="87" name="Date Updated" tableColumnId="75"/>
      <queryTableField id="52" name="Naam van het hoofdkorps" tableColumnId="52"/>
      <queryTableField id="53" name="Zal op treden als (hoofdkorps)" tableColumnId="53"/>
      <queryTableField id="54" name="Vorm van twee muziekwerken (hoofdkorps)" tableColumnId="54"/>
      <queryTableField id="55" name="Zal uitkomen in de: (hoofdkorps)" tableColumnId="55"/>
      <queryTableField id="56" name="Muziekwerk1 (hoofdkorps)" tableColumnId="56"/>
      <queryTableField id="57" name="Muziekwerk2 (hoofdkorps)" tableColumnId="57"/>
      <queryTableField id="58" name="Korps bestaat uit ... deelnemers (hoofdkorps)" tableColumnId="58"/>
      <queryTableField id="59" name="Naam van het 2e korps" tableColumnId="59"/>
      <queryTableField id="60" name="Zal op treden als (2e korps)" tableColumnId="60"/>
      <queryTableField id="61" name="Vorm van twee muziekwerken (2e korps)" tableColumnId="61"/>
      <queryTableField id="62" name="Zal uitkomen in de: (2e korps)" tableColumnId="62"/>
      <queryTableField id="63" name="Muziekwerk1 (2e korps)" tableColumnId="63"/>
      <queryTableField id="64" name="Muziekwerk2 (2e korps)" tableColumnId="64"/>
      <queryTableField id="65" name="Korps bestaat uit ... deelnemers (2e korps)" tableColumnId="65"/>
      <queryTableField id="69" name="Mechanische muziek" tableColumnId="69"/>
      <queryTableField id="66" name="Onderdelen" tableColumnId="66"/>
      <queryTableField id="67" name="Secties" tableColumnId="67"/>
      <queryTableField id="68" name="Leeftijdscategorie" tableColumnId="68"/>
      <queryTableField id="70" name="Aantal opgegeven majorettes" tableColumnId="70"/>
    </queryTableFields>
  </queryTableRefresh>
</queryTable>
</file>

<file path=xl/queryTables/queryTable8.xml><?xml version="1.0" encoding="utf-8"?>
<queryTable xmlns="http://schemas.openxmlformats.org/spreadsheetml/2006/main" xmlns:mc="http://schemas.openxmlformats.org/markup-compatibility/2006" xmlns:xr16="http://schemas.microsoft.com/office/spreadsheetml/2017/revision16" mc:Ignorable="xr16" name="ExterneGegevens_4" connectionId="5" xr16:uid="{E7113DB3-8D3D-4B9E-B8FB-1CD69E1478A3}" autoFormatId="16" applyNumberFormats="0" applyBorderFormats="0" applyFontFormats="0" applyPatternFormats="0" applyAlignmentFormats="0" applyWidthHeightFormats="0">
  <queryTableRefresh nextId="46">
    <queryTableFields count="23">
      <queryTableField id="29" name="Inzending-ID" tableColumnId="2"/>
      <queryTableField id="20" name="Inzenddatum" tableColumnId="20"/>
      <queryTableField id="1" name="GKVI" tableColumnId="1"/>
      <queryTableField id="21" name="Ver.nr." tableColumnId="21"/>
      <queryTableField id="3" name="Naam vereniging" tableColumnId="3"/>
      <queryTableField id="4" name="Korps klassiek senioren" tableColumnId="4"/>
      <queryTableField id="35" name="Korps 1 klassiek junioren" tableColumnId="5"/>
      <queryTableField id="36" name="Korps 2 klassiek junioren" tableColumnId="6"/>
      <queryTableField id="37" name="Korps 1 klassiek aspiranten" tableColumnId="13"/>
      <queryTableField id="38" name="Korps 2 klassiek aspiranten" tableColumnId="14"/>
      <queryTableField id="7" name="Korps acrob. senioren" tableColumnId="7"/>
      <queryTableField id="8" name="Korps acrob. junioren" tableColumnId="8"/>
      <queryTableField id="9" name="Korps acrob. aspiranten" tableColumnId="9"/>
      <queryTableField id="10" name="Korps show senioren" tableColumnId="10"/>
      <queryTableField id="11" name="Korps show junioren" tableColumnId="11"/>
      <queryTableField id="12" name="Korps show aspiranten" tableColumnId="12"/>
      <queryTableField id="23" name="Senioren" tableColumnId="22"/>
      <queryTableField id="24" name="Junioren" tableColumnId="23"/>
      <queryTableField id="25" name="Aspiranten" tableColumnId="24"/>
      <queryTableField id="17" name="Aantal deelnemers" tableColumnId="17"/>
      <queryTableField id="18" name="Hiervan is aspirant" tableColumnId="18"/>
      <queryTableField id="16" name="Opmerkingen" tableColumnId="16"/>
      <queryTableField id="39" name="Date Updated" tableColumnId="15"/>
    </queryTableFields>
  </queryTableRefresh>
</queryTable>
</file>

<file path=xl/queryTables/queryTable9.xml><?xml version="1.0" encoding="utf-8"?>
<queryTable xmlns="http://schemas.openxmlformats.org/spreadsheetml/2006/main" xmlns:mc="http://schemas.openxmlformats.org/markup-compatibility/2006" xmlns:xr16="http://schemas.microsoft.com/office/spreadsheetml/2017/revision16" mc:Ignorable="xr16" name="ExterneGegevens_2" connectionId="3" xr16:uid="{4E114F9E-3446-4D81-985E-ED37D101CA83}" autoFormatId="16" applyNumberFormats="0" applyBorderFormats="0" applyFontFormats="0" applyPatternFormats="0" applyAlignmentFormats="0" applyWidthHeightFormats="0">
  <queryTableRefresh nextId="89">
    <queryTableFields count="11">
      <queryTableField id="3" name="BIEL" tableColumnId="3"/>
      <queryTableField id="4" name="Ver.nr." tableColumnId="4"/>
      <queryTableField id="5" name="Naam vereniging" tableColumnId="5"/>
      <queryTableField id="6" name="Senioren" tableColumnId="6"/>
      <queryTableField id="84" name="Jong volwassene" tableColumnId="72"/>
      <queryTableField id="7" name="Junioren" tableColumnId="7"/>
      <queryTableField id="8" name="Aspiranten" tableColumnId="8"/>
      <queryTableField id="9" name="Opmerkingen/toelichting" tableColumnId="9"/>
      <queryTableField id="1" name="Inzending-ID" tableColumnId="1"/>
      <queryTableField id="2" name="Inzenddatum" tableColumnId="2"/>
      <queryTableField id="87" name="Date Updated" tableColumnId="10"/>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_rels/table2.xml.rels><?xml version="1.0" encoding="UTF-8" standalone="yes"?>
<Relationships xmlns="http://schemas.openxmlformats.org/package/2006/relationships"><Relationship Id="rId1" Type="http://schemas.openxmlformats.org/officeDocument/2006/relationships/queryTable" Target="../queryTables/queryTable2.xml"/></Relationships>
</file>

<file path=xl/tables/_rels/table3.xml.rels><?xml version="1.0" encoding="UTF-8" standalone="yes"?>
<Relationships xmlns="http://schemas.openxmlformats.org/package/2006/relationships"><Relationship Id="rId1" Type="http://schemas.openxmlformats.org/officeDocument/2006/relationships/queryTable" Target="../queryTables/queryTable3.xml"/></Relationships>
</file>

<file path=xl/tables/_rels/table4.xml.rels><?xml version="1.0" encoding="UTF-8" standalone="yes"?>
<Relationships xmlns="http://schemas.openxmlformats.org/package/2006/relationships"><Relationship Id="rId1" Type="http://schemas.openxmlformats.org/officeDocument/2006/relationships/queryTable" Target="../queryTables/queryTable4.xml"/></Relationships>
</file>

<file path=xl/tables/_rels/table5.xml.rels><?xml version="1.0" encoding="UTF-8" standalone="yes"?>
<Relationships xmlns="http://schemas.openxmlformats.org/package/2006/relationships"><Relationship Id="rId1" Type="http://schemas.openxmlformats.org/officeDocument/2006/relationships/queryTable" Target="../queryTables/queryTable5.xml"/></Relationships>
</file>

<file path=xl/tables/_rels/table6.xml.rels><?xml version="1.0" encoding="UTF-8" standalone="yes"?>
<Relationships xmlns="http://schemas.openxmlformats.org/package/2006/relationships"><Relationship Id="rId1" Type="http://schemas.openxmlformats.org/officeDocument/2006/relationships/queryTable" Target="../queryTables/queryTable6.xml"/></Relationships>
</file>

<file path=xl/tables/_rels/table7.xml.rels><?xml version="1.0" encoding="UTF-8" standalone="yes"?>
<Relationships xmlns="http://schemas.openxmlformats.org/package/2006/relationships"><Relationship Id="rId1" Type="http://schemas.openxmlformats.org/officeDocument/2006/relationships/queryTable" Target="../queryTables/queryTable7.xml"/></Relationships>
</file>

<file path=xl/tables/_rels/table8.xml.rels><?xml version="1.0" encoding="UTF-8" standalone="yes"?>
<Relationships xmlns="http://schemas.openxmlformats.org/package/2006/relationships"><Relationship Id="rId1" Type="http://schemas.openxmlformats.org/officeDocument/2006/relationships/queryTable" Target="../queryTables/queryTable8.xml"/></Relationships>
</file>

<file path=xl/tables/_rels/table9.xml.rels><?xml version="1.0" encoding="UTF-8" standalone="yes"?>
<Relationships xmlns="http://schemas.openxmlformats.org/package/2006/relationships"><Relationship Id="rId1" Type="http://schemas.openxmlformats.org/officeDocument/2006/relationships/queryTable" Target="../queryTables/queryTable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B2AD1A8-21EE-4EC5-B1CA-8DF26891C09C}" name="Kringdagen" displayName="Kringdagen" ref="A6:BW58" tableType="queryTable" totalsRowCount="1" headerRowDxfId="858" dataDxfId="857">
  <autoFilter ref="A6:BW57" xr:uid="{3B2AD1A8-21EE-4EC5-B1CA-8DF26891C09C}"/>
  <tableColumns count="75">
    <tableColumn id="1" xr3:uid="{7169F922-C0A5-4C7A-8163-110390717455}" uniqueName="1" name="Kringdag" totalsRowLabel="Totaal" queryTableFieldId="1" dataDxfId="567"/>
    <tableColumn id="2" xr3:uid="{9B4B57E0-EA6A-496B-8C47-7344A7B0416E}" uniqueName="2" name="Ver.nr" queryTableFieldId="2" dataDxfId="566"/>
    <tableColumn id="3" xr3:uid="{28A22636-2AD3-4B4A-853B-05F7307234B8}" uniqueName="3" name="Naam vereniging" totalsRowFunction="count" queryTableFieldId="3" dataDxfId="565"/>
    <tableColumn id="4" xr3:uid="{E83530C6-50B2-4ED6-ACF6-C5FE9C917B8A}" uniqueName="4" name="Delegatie" totalsRowFunction="custom" queryTableFieldId="4" dataDxfId="564">
      <totalsRowFormula>COUNTIF(Kringdagen[Delegatie],"x")</totalsRowFormula>
    </tableColumn>
    <tableColumn id="5" xr3:uid="{7E09E7CC-EED9-4C4B-9E81-D0E289EE75C2}" uniqueName="5" name="Muziekkorps bij mars en defilé" totalsRowFunction="custom" queryTableFieldId="5" dataDxfId="563" totalsRowDxfId="568">
      <totalsRowFormula>COUNTIF(Kringdagen[Muziekkorps bij mars en defilé],"x")</totalsRowFormula>
    </tableColumn>
    <tableColumn id="6" xr3:uid="{E6678213-BCA5-4FB3-8DE9-19B341796385}" uniqueName="6" name="Deeln. jeugdkoningschieten" totalsRowFunction="custom" queryTableFieldId="6" dataDxfId="562" totalsRowDxfId="569">
      <totalsRowFormula>COUNTIF(Kringdagen[Deeln. jeugdkoningschieten],"x")</totalsRowFormula>
    </tableColumn>
    <tableColumn id="7" xr3:uid="{A897B559-E43C-40AE-A514-5712E01E2677}" uniqueName="7" name="Maj. Senioren jureren bij mars" totalsRowFunction="custom" queryTableFieldId="7" dataDxfId="561" totalsRowDxfId="570">
      <totalsRowFormula>COUNTIF(Kringdagen[Maj. Senioren jureren bij mars],"x")</totalsRowFormula>
    </tableColumn>
    <tableColumn id="8" xr3:uid="{85B05329-3894-4DE9-B6ED-E97A4071FF2A}" uniqueName="8" name="Maj. Jeugd jureren bij mars" totalsRowFunction="custom" queryTableFieldId="8" dataDxfId="560" totalsRowDxfId="571">
      <totalsRowFormula>COUNTIF(Kringdagen[Maj. Jeugd jureren bij mars],"x")</totalsRowFormula>
    </tableColumn>
    <tableColumn id="9" xr3:uid="{49CEC62B-3708-4A84-925D-9D3AB0DA0F73}" uniqueName="9" name="Korps senioren" totalsRowFunction="count" queryTableFieldId="9" dataDxfId="559" totalsRowDxfId="572"/>
    <tableColumn id="10" xr3:uid="{6B4F2F2F-1FAF-3543-924F-26F97CA37565}" uniqueName="10" name="Junioren korps 1" totalsRowFunction="count" queryTableFieldId="110"/>
    <tableColumn id="11" xr3:uid="{EB9CC774-6F36-1D41-84A1-AF44A7AC3821}" uniqueName="11" name="Junioren korps 2" totalsRowFunction="count" queryTableFieldId="111"/>
    <tableColumn id="26" xr3:uid="{925701B1-92D4-524D-BB44-975708D4E0F2}" uniqueName="26" name="Aspiranten korps 1" totalsRowFunction="count" queryTableFieldId="112"/>
    <tableColumn id="30" xr3:uid="{06CF2CCD-611C-124C-82DE-BB07FE50CBA9}" uniqueName="30" name="Aspiranten korps 2" totalsRowFunction="count" queryTableFieldId="113"/>
    <tableColumn id="12" xr3:uid="{C7AD7E12-3003-473E-919D-5850575DAB82}" uniqueName="12" name="Acrobatisch senioren" totalsRowFunction="count" queryTableFieldId="12" dataDxfId="558" totalsRowDxfId="573"/>
    <tableColumn id="13" xr3:uid="{8B567A3B-937E-4E8A-921B-3C8F818CA5BC}" uniqueName="13" name="Acrobatisch junioren" totalsRowFunction="custom" queryTableFieldId="13" dataDxfId="557" totalsRowDxfId="574">
      <totalsRowFormula>COUNTIF(Kringdagen[Acrobatisch junioren],"x")</totalsRowFormula>
    </tableColumn>
    <tableColumn id="14" xr3:uid="{46D8E097-8060-41EE-9300-00C0FE494A71}" uniqueName="14" name="Acrobatisch aspiranten" totalsRowFunction="custom" queryTableFieldId="14" dataDxfId="556" totalsRowDxfId="575">
      <totalsRowFormula>COUNTIF(Kringdagen[Acrobatisch aspiranten],"x")</totalsRowFormula>
    </tableColumn>
    <tableColumn id="15" xr3:uid="{3520E680-87C5-4FB1-83CF-64483A825E88}" uniqueName="15" name="Show senioren" queryTableFieldId="15" dataDxfId="555"/>
    <tableColumn id="16" xr3:uid="{52FBA786-F2B5-4A99-A66F-A96504BF6E62}" uniqueName="16" name="Show junioren" totalsRowFunction="count" queryTableFieldId="16" dataDxfId="554"/>
    <tableColumn id="17" xr3:uid="{6B2FC241-12E4-42BB-9EB8-B2F2D7BBDB51}" uniqueName="17" name="Show aspiranten" totalsRowFunction="count" queryTableFieldId="17" dataDxfId="553"/>
    <tableColumn id="18" xr3:uid="{C7144BC3-9507-4F1F-839C-D9B47BC35129}" uniqueName="18" name="Senioren indiv." totalsRowFunction="sum" queryTableFieldId="18" dataDxfId="552" totalsRowDxfId="576"/>
    <tableColumn id="19" xr3:uid="{B7406091-1217-477A-B658-F33626FCC096}" uniqueName="19" name="Junioren indiv." totalsRowFunction="sum" queryTableFieldId="19" dataDxfId="551" totalsRowDxfId="577"/>
    <tableColumn id="20" xr3:uid="{B805D14A-8A89-4BDB-9E34-7FDE41080043}" uniqueName="20" name="Aspiranten indiv." totalsRowFunction="sum" queryTableFieldId="20" dataDxfId="550" totalsRowDxfId="578"/>
    <tableColumn id="21" xr3:uid="{DA0C42EE-0211-4EAE-AA77-10ECFC275046}" uniqueName="21" name="Sen. ind opgegeven namen" totalsRowFunction="sum" queryTableFieldId="21" dataDxfId="549" totalsRowDxfId="579"/>
    <tableColumn id="22" xr3:uid="{22C736A7-9D4B-4B04-900B-6389D7770216}" uniqueName="22" name="Jun. ind opgegeven namen" totalsRowFunction="sum" queryTableFieldId="22" dataDxfId="548" totalsRowDxfId="580"/>
    <tableColumn id="23" xr3:uid="{EA2F5761-2CD1-4E57-B92B-A330394439F7}" uniqueName="23" name="Asp. ind opgegeven namen" totalsRowFunction="sum" queryTableFieldId="23" dataDxfId="547" totalsRowDxfId="581"/>
    <tableColumn id="24" xr3:uid="{D2315A47-D679-4C3E-9008-01944CDEA104}" uniqueName="24" name="Hoofdkorps" totalsRowFunction="custom" queryTableFieldId="24" dataDxfId="546" totalsRowDxfId="582">
      <totalsRowFormula>COUNTIF(Kringdagen[Hoofdkorps],"x")</totalsRowFormula>
    </tableColumn>
    <tableColumn id="25" xr3:uid="{65EEC1D3-27E6-4BBF-B43D-0095CEFABF66}" uniqueName="25" name="2e korps" totalsRowFunction="custom" queryTableFieldId="25" dataDxfId="545" totalsRowDxfId="583">
      <totalsRowFormula>COUNTIF(Kringdagen[2e korps],"x")</totalsRowFormula>
    </tableColumn>
    <tableColumn id="31" xr3:uid="{00B2A2A4-B8ED-49A0-9F8F-38F89F43411A}" uniqueName="31" name="Groepen, teams, ensembles en duo's" totalsRowFunction="count" queryTableFieldId="78"/>
    <tableColumn id="27" xr3:uid="{7BB4D3FC-109D-47BA-B9BD-B08D2B1288FB}" uniqueName="27" name="Senioren" totalsRowFunction="sum" queryTableFieldId="27" dataDxfId="544"/>
    <tableColumn id="32" xr3:uid="{CC331888-BB39-4C72-8420-9A514DA0BFCF}" uniqueName="32" name="Jong volwassene" totalsRowFunction="sum" queryTableFieldId="79"/>
    <tableColumn id="28" xr3:uid="{D70C281E-A0B6-47CA-BB3C-7AA5560A4CC2}" uniqueName="28" name="Junioren" totalsRowFunction="sum" queryTableFieldId="28" dataDxfId="543"/>
    <tableColumn id="29" xr3:uid="{A6A55D24-90D7-4793-953C-8BED0C9CA667}" uniqueName="29" name="Aspiranten" totalsRowFunction="sum" queryTableFieldId="29" dataDxfId="542"/>
    <tableColumn id="35" xr3:uid="{D8A1205A-C81A-44D1-8F2D-60C384E136F5}" uniqueName="35" name="Opgegeven senioren" totalsRowFunction="sum" queryTableFieldId="80"/>
    <tableColumn id="37" xr3:uid="{933810B6-BBB9-4FEF-8CBF-B9F27056FC92}" uniqueName="37" name="Opgegeven jong volwassene" totalsRowFunction="sum" queryTableFieldId="81"/>
    <tableColumn id="39" xr3:uid="{6BD908E3-DF48-4688-97C8-B6EAE72A91DD}" uniqueName="39" name="Opgegeven junioren" totalsRowFunction="sum" queryTableFieldId="82"/>
    <tableColumn id="41" xr3:uid="{1984258B-546E-423D-AFE2-AA763DC9A4A4}" uniqueName="41" name="Opgegeven aspiranten" totalsRowFunction="sum" queryTableFieldId="83"/>
    <tableColumn id="33" xr3:uid="{326E8F18-C19B-456E-86C1-3ADD38D94464}" uniqueName="33" name="Marketentsters" totalsRowFunction="custom" queryTableFieldId="33" dataDxfId="541">
      <totalsRowFormula>COUNTIF(Kringdagen[Acrobatisch aspiranten],"x")</totalsRowFormula>
    </tableColumn>
    <tableColumn id="34" xr3:uid="{D67523FD-729A-4875-B750-2E0984FC2AFC}" uniqueName="34" name="Luchtgeweer" totalsRowFunction="custom" queryTableFieldId="34" dataDxfId="540">
      <totalsRowFormula>COUNTIF(Kringdagen[Luchtgeweer],"x")</totalsRowFormula>
    </tableColumn>
    <tableColumn id="42" xr3:uid="{9B139311-D274-49A8-94E7-1AD6DCCB25D3}" uniqueName="42" name="Aantal luchtgeweerschutters" totalsRowFunction="sum" queryTableFieldId="84"/>
    <tableColumn id="36" xr3:uid="{289B9A18-0C3D-4168-B8C1-F78C2257FB79}" uniqueName="36" name="Luchtpistool" totalsRowFunction="custom" queryTableFieldId="36" dataDxfId="539">
      <totalsRowFormula>COUNTIF(Kringdagen[Luchtpistool],"x")</totalsRowFormula>
    </tableColumn>
    <tableColumn id="43" xr3:uid="{3672FD41-3E0F-42CD-9F45-6131E27DA8F2}" uniqueName="43" name="Aantal luchtpistoolschutters" totalsRowFunction="sum" queryTableFieldId="85"/>
    <tableColumn id="40" xr3:uid="{F8B26F13-01CD-4495-93AB-15F10A1049AD}" uniqueName="40" name="Handboog" totalsRowFunction="custom" queryTableFieldId="40" dataDxfId="538">
      <totalsRowFormula>COUNTIF(Kringdagen[Handboog],"x")</totalsRowFormula>
    </tableColumn>
    <tableColumn id="44" xr3:uid="{D7D759F3-208D-4B2D-BB20-8EE723E9D536}" uniqueName="44" name="Aantal handboogschutters" totalsRowFunction="sum" queryTableFieldId="86"/>
    <tableColumn id="38" xr3:uid="{BF15A180-6B6D-4D01-8D56-94BD5C65421C}" uniqueName="38" name="Kruisboog" totalsRowFunction="custom" queryTableFieldId="38" dataDxfId="537">
      <totalsRowFormula>COUNTIF(Kringdagen[Kruisboog],"x")</totalsRowFormula>
    </tableColumn>
    <tableColumn id="71" xr3:uid="{5728B2C7-1DB9-4032-81F2-ACA15494CC6F}" uniqueName="71" name="Aantal kruisboogschutters" totalsRowFunction="sum" queryTableFieldId="87"/>
    <tableColumn id="72" xr3:uid="{BFB9E05E-1721-447B-92B4-9D9D1847611E}" uniqueName="72" name="Luchtgeweer jeugd niet ouder dan 17 jaar." totalsRowFunction="custom" queryTableFieldId="88" dataDxfId="536">
      <totalsRowFormula>COUNTIF(Kringdagen[[#Headers],[#Data],[Luchtgeweer jeugd niet ouder dan 17 jaar.]],"x")</totalsRowFormula>
    </tableColumn>
    <tableColumn id="73" xr3:uid="{527D85A2-785F-4C31-9343-1F5772082267}" uniqueName="73" name="Aantal korpsen" totalsRowFunction="sum" queryTableFieldId="89"/>
    <tableColumn id="74" xr3:uid="{11DE4FF6-2DB3-4BAB-A81C-98B03ACD130F}" uniqueName="74" name="Opgegeven jeugdkorpsen LG" totalsRowFunction="sum" queryTableFieldId="90"/>
    <tableColumn id="45" xr3:uid="{487581FD-47FD-4B43-B4CD-B3CB14A5658D}" uniqueName="45" name="Totaal aantal deelnemers" totalsRowFunction="sum" queryTableFieldId="45" dataDxfId="535"/>
    <tableColumn id="46" xr3:uid="{24CE9FFA-B58D-41F3-B403-2A7455C510FA}" uniqueName="46" name="Waarvan aantal jeugd (t/m 15 jaar)" totalsRowFunction="sum" queryTableFieldId="46" dataDxfId="534"/>
    <tableColumn id="47" xr3:uid="{F4FDD882-9499-4143-B293-D33292BE1EDD}" uniqueName="47" name="Kanon etc." totalsRowFunction="custom" queryTableFieldId="47" dataDxfId="533">
      <totalsRowFormula>COUNTIF(Kringdagen[Kanon etc.],"x")</totalsRowFormula>
    </tableColumn>
    <tableColumn id="48" xr3:uid="{BFBCCAD4-A36E-473C-AABB-E13B45AC4056}" uniqueName="48" name="Paarden en/of koetsen" totalsRowFunction="custom" queryTableFieldId="48" dataDxfId="532">
      <totalsRowFormula>COUNTIF(Kringdagen[Paarden en/of koetsen],"x")</totalsRowFormula>
    </tableColumn>
    <tableColumn id="49" xr3:uid="{A7B1F859-9BFD-4A99-8275-1C36781803C9}" uniqueName="49" name="Toelichting/opmerkingen" queryTableFieldId="49" dataDxfId="531" totalsRowDxfId="584"/>
    <tableColumn id="50" xr3:uid="{7CDF31B1-5BC8-4AC1-B0C4-721328656AA8}" uniqueName="50" name="Inzending-ID" queryTableFieldId="50" dataDxfId="530"/>
    <tableColumn id="51" xr3:uid="{584A802D-3439-4ACA-AFDC-FC30D9E20F1B}" uniqueName="51" name="Inzenddatum" queryTableFieldId="51" dataDxfId="529"/>
    <tableColumn id="75" xr3:uid="{5A64AE3D-0A3E-4214-AA7A-0BD95C97BB7D}" uniqueName="75" name="Date Updated" queryTableFieldId="91" dataDxfId="528"/>
    <tableColumn id="52" xr3:uid="{3B7A1945-C475-49E0-821E-DE1E932FC754}" uniqueName="52" name="Naam van het hoofdkorps" queryTableFieldId="52" dataDxfId="527"/>
    <tableColumn id="53" xr3:uid="{AC4D1791-8940-4916-AF6A-5C3B622C6244}" uniqueName="53" name="Zal op treden als (hoofdkorps)" queryTableFieldId="53" dataDxfId="526"/>
    <tableColumn id="54" xr3:uid="{8205D8BF-789B-4766-89ED-5BEEB61F4F3E}" uniqueName="54" name="Vorm van twee muziekwerken (hoofdkorps)" queryTableFieldId="54" dataDxfId="525"/>
    <tableColumn id="55" xr3:uid="{38D02A87-0B62-4193-BB26-814D3F0F7CE3}" uniqueName="55" name="Zal uitkomen in de: (hoofdkorps)" queryTableFieldId="55" dataDxfId="524"/>
    <tableColumn id="56" xr3:uid="{5A373806-0F74-4F9E-8F05-ABC018CB841B}" uniqueName="56" name="Muziekwerk1 (hoofdkorps)" queryTableFieldId="56" dataDxfId="523"/>
    <tableColumn id="57" xr3:uid="{FD3115BA-A8B0-4983-BB09-1D0734FFF11D}" uniqueName="57" name="Muziekwerk2 (hoofdkorps)" queryTableFieldId="57" dataDxfId="522"/>
    <tableColumn id="58" xr3:uid="{538579BC-A4B4-41B7-A0E4-5ED6CE267985}" uniqueName="58" name="Korps bestaat uit ... deelnemers (hoofdkorps)" queryTableFieldId="58" dataDxfId="521"/>
    <tableColumn id="59" xr3:uid="{B6BF2D51-68AA-4A33-AEB5-BF9246AACE9A}" uniqueName="59" name="Naam van het 2e korps" queryTableFieldId="59" dataDxfId="520"/>
    <tableColumn id="60" xr3:uid="{421F5F90-267D-4901-9B8E-991C5897AC60}" uniqueName="60" name="Zal op treden als (2e korps)" queryTableFieldId="60" dataDxfId="519"/>
    <tableColumn id="61" xr3:uid="{8448A063-B19D-4184-B8C7-25D0479A5D0C}" uniqueName="61" name="Vorm van twee muziekwerken (2e korps)" queryTableFieldId="61" dataDxfId="518"/>
    <tableColumn id="62" xr3:uid="{44056152-530D-483A-9546-BFE5C52E9BA6}" uniqueName="62" name="Zal uitkomen in de: (2e korps)" queryTableFieldId="62" dataDxfId="517"/>
    <tableColumn id="63" xr3:uid="{FB032110-844D-4A34-925E-237A62033908}" uniqueName="63" name="Muziekwerk1 (2e korps)" queryTableFieldId="63" dataDxfId="516"/>
    <tableColumn id="64" xr3:uid="{A63C4752-27A4-4642-989D-48A16EB8534B}" uniqueName="64" name="Muziekwerk2 (2e korps)" queryTableFieldId="64" dataDxfId="515" totalsRowDxfId="585"/>
    <tableColumn id="65" xr3:uid="{5C72AC6E-8F73-4B3D-AD19-BDA77DA16FA9}" uniqueName="65" name="Korps bestaat uit ... deelnemers (2e korps)" queryTableFieldId="65" dataDxfId="514" totalsRowDxfId="586"/>
    <tableColumn id="69" xr3:uid="{4321D970-37D1-4901-B966-516EDF83B5C1}" uniqueName="69" name="Mechanische muziek" queryTableFieldId="69" dataDxfId="513" totalsRowDxfId="587"/>
    <tableColumn id="66" xr3:uid="{F8AAA117-DE18-4F31-8CC3-9BFE50C3F6CC}" uniqueName="66" name="Onderdelen" queryTableFieldId="66" dataDxfId="512" totalsRowDxfId="588"/>
    <tableColumn id="67" xr3:uid="{8BD9FAD2-8AD0-4E46-9B1E-ADF442282474}" uniqueName="67" name="Secties" queryTableFieldId="67" dataDxfId="511" totalsRowDxfId="589"/>
    <tableColumn id="68" xr3:uid="{A2FDF1E3-65B9-4616-9296-F9BC2DBF4E46}" uniqueName="68" name="Leeftijdscategorie" queryTableFieldId="68" dataDxfId="510" totalsRowDxfId="590"/>
    <tableColumn id="70" xr3:uid="{4119D92A-81F3-4CA7-8040-7C262720EC7A}" uniqueName="70" name="Aantal opgegeven majorettes" totalsRowFunction="sum" queryTableFieldId="70" dataDxfId="509" totalsRowDxfId="591"/>
  </tableColumns>
  <tableStyleInfo name="TableStyleMedium7"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CD540B2-EAF0-4DE2-B57B-B123CBAF77F8}" name="KDM" displayName="KDM" ref="A7:BW13" tableType="queryTable" totalsRowCount="1" headerRowDxfId="856" dataDxfId="855" totalsRowDxfId="854">
  <autoFilter ref="A7:BW12" xr:uid="{2CD540B2-EAF0-4DE2-B57B-B123CBAF77F8}"/>
  <tableColumns count="75">
    <tableColumn id="1" xr3:uid="{1103BBA0-A8BC-4D47-8FCD-A3FDFA000991}" uniqueName="1" name="Kringdag" totalsRowLabel="Totaal" queryTableFieldId="1" dataDxfId="742"/>
    <tableColumn id="2" xr3:uid="{C7B4BCD5-1C5D-4BF7-BAED-3A0C2CB1F3D1}" uniqueName="2" name="Ver.nr" queryTableFieldId="2" dataDxfId="741"/>
    <tableColumn id="3" xr3:uid="{9DA68F7A-F5A4-430F-AA1A-B1A621DAF4EE}" uniqueName="3" name="Naam vereniging" totalsRowFunction="count" queryTableFieldId="3" dataDxfId="740" totalsRowDxfId="743"/>
    <tableColumn id="4" xr3:uid="{56F38DBD-5A2B-46D1-8142-1B151DE834FE}" uniqueName="4" name="Delegatie" totalsRowFunction="custom" queryTableFieldId="4" dataDxfId="739" totalsRowDxfId="744">
      <totalsRowFormula>COUNTIF(KDM[Delegatie],"x")</totalsRowFormula>
    </tableColumn>
    <tableColumn id="5" xr3:uid="{0A6A9C30-5B27-412A-BB0B-519280B4824B}" uniqueName="5" name="Muziekkorps bij mars en defilé" totalsRowFunction="custom" queryTableFieldId="5" dataDxfId="738" totalsRowDxfId="745">
      <totalsRowFormula>COUNTIF(KDM[Muziekkorps bij mars en defilé],"x")</totalsRowFormula>
    </tableColumn>
    <tableColumn id="6" xr3:uid="{0EF1B394-669B-4312-A165-6ED5704C248D}" uniqueName="6" name="Deeln. jeugdkoningschieten" totalsRowFunction="custom" queryTableFieldId="6" dataDxfId="737" totalsRowDxfId="746">
      <totalsRowFormula>COUNTIF(KDM[Deeln. jeugdkoningschieten],"x")</totalsRowFormula>
    </tableColumn>
    <tableColumn id="7" xr3:uid="{0E14AC65-9321-47FF-9069-7F59147E815C}" uniqueName="7" name="Maj. Senioren jureren bij mars" totalsRowFunction="custom" queryTableFieldId="7" dataDxfId="736" totalsRowDxfId="747">
      <totalsRowFormula>COUNTIF(KDM[Maj. Senioren jureren bij mars],"x")</totalsRowFormula>
    </tableColumn>
    <tableColumn id="8" xr3:uid="{86F1F864-AE5F-430C-AAD0-2F423ED0C79A}" uniqueName="8" name="Maj. Jeugd jureren bij mars" totalsRowFunction="custom" queryTableFieldId="8" dataDxfId="735" totalsRowDxfId="748">
      <totalsRowFormula>COUNTIF(KDM[Maj. Jeugd jureren bij mars],"x")</totalsRowFormula>
    </tableColumn>
    <tableColumn id="9" xr3:uid="{4D16CC4B-0392-434F-BB5E-9A77AACD0570}" uniqueName="9" name="Korps senioren" totalsRowFunction="count" queryTableFieldId="9" dataDxfId="734" totalsRowDxfId="749"/>
    <tableColumn id="10" xr3:uid="{52B04DEF-7B7A-4605-B991-CE2214297B0A}" uniqueName="10" name="Junioren korps 1" totalsRowFunction="count" queryTableFieldId="120" dataDxfId="733" totalsRowDxfId="750"/>
    <tableColumn id="11" xr3:uid="{DE4F4F56-4A22-4646-A428-8BFCB0383503}" uniqueName="11" name="Junioren korps 2" totalsRowFunction="count" queryTableFieldId="121" dataDxfId="732" totalsRowDxfId="751"/>
    <tableColumn id="26" xr3:uid="{427F84BA-67CF-4528-8E9C-B2ACC2AAEFF1}" uniqueName="26" name="Aspiranten korps 1" totalsRowFunction="count" queryTableFieldId="122" dataDxfId="731" totalsRowDxfId="752"/>
    <tableColumn id="30" xr3:uid="{8DAFA16D-00E8-44E9-ABD8-EE403D7CDB78}" uniqueName="30" name="Aspiranten korps 2" totalsRowFunction="count" queryTableFieldId="123" dataDxfId="730" totalsRowDxfId="753"/>
    <tableColumn id="12" xr3:uid="{AC0F6136-3715-4379-A358-A022D71C9CF2}" uniqueName="12" name="Acrobatisch senioren" totalsRowFunction="count" queryTableFieldId="12" dataDxfId="729" totalsRowDxfId="754"/>
    <tableColumn id="13" xr3:uid="{5CB2F786-C6CD-4D31-8435-9F349EC91962}" uniqueName="13" name="Acrobatisch junioren" totalsRowFunction="count" queryTableFieldId="13" dataDxfId="728" totalsRowDxfId="755"/>
    <tableColumn id="14" xr3:uid="{67C2CBD8-0B32-4379-A0B6-849663120187}" uniqueName="14" name="Acrobatisch aspiranten" totalsRowFunction="count" queryTableFieldId="14" dataDxfId="727" totalsRowDxfId="756"/>
    <tableColumn id="15" xr3:uid="{3200A8D3-393D-48E5-A13B-28AA07B269BC}" uniqueName="15" name="Show senioren" queryTableFieldId="15" dataDxfId="726" totalsRowDxfId="757"/>
    <tableColumn id="16" xr3:uid="{BD755798-A106-4E58-AC3A-29EF81FA1C42}" uniqueName="16" name="Show junioren" queryTableFieldId="16" dataDxfId="725" totalsRowDxfId="758"/>
    <tableColumn id="17" xr3:uid="{3A30FE20-7662-492C-B9B2-C9FFC86D516B}" uniqueName="17" name="Show aspiranten" queryTableFieldId="17" dataDxfId="724" totalsRowDxfId="759"/>
    <tableColumn id="18" xr3:uid="{E22007BB-0174-429F-84CA-CF78AA079CB6}" uniqueName="18" name="Senioren indiv." totalsRowFunction="sum" queryTableFieldId="18" dataDxfId="723" totalsRowDxfId="760"/>
    <tableColumn id="19" xr3:uid="{EBBB12A6-43FC-4D97-8CD4-597AA9E51031}" uniqueName="19" name="Junioren indiv." totalsRowFunction="sum" queryTableFieldId="19" dataDxfId="722" totalsRowDxfId="761"/>
    <tableColumn id="20" xr3:uid="{21DA1D24-967A-4096-A692-28F6B39AAEEE}" uniqueName="20" name="Aspiranten indiv." totalsRowFunction="sum" queryTableFieldId="20" dataDxfId="721" totalsRowDxfId="762"/>
    <tableColumn id="21" xr3:uid="{727ECB18-6D8E-46D0-B56F-DAF816B707FF}" uniqueName="21" name="Sen. ind opgegeven namen" totalsRowFunction="sum" queryTableFieldId="21" dataDxfId="720" totalsRowDxfId="763"/>
    <tableColumn id="22" xr3:uid="{CE2410D8-CF76-4736-A78E-4123FB23E9F9}" uniqueName="22" name="Jun. ind opgegeven namen" totalsRowFunction="sum" queryTableFieldId="22" dataDxfId="719" totalsRowDxfId="764"/>
    <tableColumn id="23" xr3:uid="{D135BAA9-49F7-4641-B3D6-4DF752244534}" uniqueName="23" name="Asp. ind opgegeven namen" totalsRowFunction="sum" queryTableFieldId="23" dataDxfId="718" totalsRowDxfId="765"/>
    <tableColumn id="24" xr3:uid="{6667AB92-4EEA-44D6-A4DD-B0434FEA668E}" uniqueName="24" name="Hoofdkorps" totalsRowFunction="custom" queryTableFieldId="24" dataDxfId="717" totalsRowDxfId="766">
      <totalsRowFormula>COUNTIF(KDM[Hoofdkorps],"x")</totalsRowFormula>
    </tableColumn>
    <tableColumn id="25" xr3:uid="{D8B8BB65-4A90-4631-8E7A-4D3AA8552A9C}" uniqueName="25" name="2e korps" totalsRowFunction="custom" queryTableFieldId="25" dataDxfId="716" totalsRowDxfId="767">
      <totalsRowFormula>COUNTIF(KDM[2e korps],"x")</totalsRowFormula>
    </tableColumn>
    <tableColumn id="31" xr3:uid="{B09B6154-3422-4137-B51A-8DEE0F9F462D}" uniqueName="31" name="Groepen, teams, ensembles en duo's" totalsRowFunction="sum" queryTableFieldId="80" dataDxfId="715" totalsRowDxfId="768"/>
    <tableColumn id="27" xr3:uid="{256C4587-E989-4647-AA31-C1624FA2FEAC}" uniqueName="27" name="Senioren" totalsRowFunction="sum" queryTableFieldId="27" dataDxfId="714" totalsRowDxfId="769"/>
    <tableColumn id="32" xr3:uid="{C0370C61-D9F6-4797-B3B8-F2D1C9BB4852}" uniqueName="32" name="Jong volwassene" totalsRowFunction="sum" queryTableFieldId="81" totalsRowDxfId="770"/>
    <tableColumn id="28" xr3:uid="{54FE8F08-70CE-4FD0-96CD-8E868167C7D2}" uniqueName="28" name="Junioren" totalsRowFunction="sum" queryTableFieldId="28" dataDxfId="713" totalsRowDxfId="771"/>
    <tableColumn id="29" xr3:uid="{2E865A1A-3C71-466A-8934-91FE60012A60}" uniqueName="29" name="Aspiranten" totalsRowFunction="sum" queryTableFieldId="29" dataDxfId="712" totalsRowDxfId="772"/>
    <tableColumn id="35" xr3:uid="{81C3194F-DD43-4F92-9593-79357F8786EB}" uniqueName="35" name="Opgegeven senioren" totalsRowFunction="sum" queryTableFieldId="82" dataDxfId="711" totalsRowDxfId="773"/>
    <tableColumn id="37" xr3:uid="{6E0C519F-6EB0-4334-9B1A-F596E8E454AC}" uniqueName="37" name="Opgegeven jong volwassene" totalsRowFunction="sum" queryTableFieldId="83" dataDxfId="710" totalsRowDxfId="774"/>
    <tableColumn id="39" xr3:uid="{E3029DBD-E0FB-4C50-9468-CA660DE3025A}" uniqueName="39" name="Opgegeven junioren" totalsRowFunction="sum" queryTableFieldId="84" totalsRowDxfId="775"/>
    <tableColumn id="41" xr3:uid="{35732D12-A7C4-42C4-BE23-5697B89EEC73}" uniqueName="41" name="Opgegeven aspiranten" totalsRowFunction="sum" queryTableFieldId="85" dataDxfId="709" totalsRowDxfId="776"/>
    <tableColumn id="33" xr3:uid="{BF03D043-517D-4DB3-9286-0D15F4B1A397}" uniqueName="33" name="Marketentsters" totalsRowFunction="custom" queryTableFieldId="33" dataDxfId="708" totalsRowDxfId="777">
      <totalsRowFormula>COUNTIF(KDM[Marketentsters],"x")</totalsRowFormula>
    </tableColumn>
    <tableColumn id="34" xr3:uid="{51F54AC5-F9AE-4FE8-BA0F-54081FBE5E81}" uniqueName="34" name="Luchtgeweer" totalsRowFunction="custom" queryTableFieldId="34" dataDxfId="707" totalsRowDxfId="778">
      <totalsRowFormula>COUNTIF(KDM[Luchtgeweer],"x")</totalsRowFormula>
    </tableColumn>
    <tableColumn id="42" xr3:uid="{AD32ACC3-2A54-43AA-9148-7EA9E6D56965}" uniqueName="42" name="Aantal luchtgeweerschutters" totalsRowFunction="sum" queryTableFieldId="86" totalsRowDxfId="779"/>
    <tableColumn id="36" xr3:uid="{0CC42708-8DCC-439B-89E3-BDDE53979283}" uniqueName="36" name="Luchtpistool" totalsRowFunction="custom" queryTableFieldId="36" dataDxfId="706" totalsRowDxfId="780">
      <totalsRowFormula>COUNTIF(KDM[Luchtpistool],"x")</totalsRowFormula>
    </tableColumn>
    <tableColumn id="43" xr3:uid="{FFBFE65D-31DA-457C-BE80-FC187203B147}" uniqueName="43" name="Aantal luchtpistoolschutters" totalsRowFunction="sum" queryTableFieldId="87" totalsRowDxfId="781"/>
    <tableColumn id="40" xr3:uid="{EBF61A57-DD1C-47D2-8CCA-41A0F57B1A96}" uniqueName="40" name="Handboog" totalsRowFunction="custom" queryTableFieldId="40" dataDxfId="705" totalsRowDxfId="782">
      <totalsRowFormula>COUNTIF(KDM[Handboog],"x")</totalsRowFormula>
    </tableColumn>
    <tableColumn id="44" xr3:uid="{29163F03-74A3-4353-83DF-892EC5A017A2}" uniqueName="44" name="Aantal handboogschutters" totalsRowFunction="sum" queryTableFieldId="88" totalsRowDxfId="783"/>
    <tableColumn id="38" xr3:uid="{FAA925D4-01EA-4240-92AF-E0481E5FDB4E}" uniqueName="38" name="Kruisboog" totalsRowFunction="custom" queryTableFieldId="38" dataDxfId="704" totalsRowDxfId="784">
      <totalsRowFormula>COUNTIF(KDM[Kruisboog],"x")</totalsRowFormula>
    </tableColumn>
    <tableColumn id="71" xr3:uid="{C43138BE-F656-4EA0-9DB0-2B9C0994481F}" uniqueName="71" name="Aantal kruisboogschutters" totalsRowFunction="sum" queryTableFieldId="89" totalsRowDxfId="785"/>
    <tableColumn id="72" xr3:uid="{498E0BB8-7958-483C-B657-8BB77F0FB837}" uniqueName="72" name="Luchtgeweer jeugd niet ouder dan 17 jaar." totalsRowFunction="custom" queryTableFieldId="90" totalsRowDxfId="786">
      <totalsRowFormula>COUNTIF(KDM[Luchtgeweer jeugd niet ouder dan 17 jaar.],"x")</totalsRowFormula>
    </tableColumn>
    <tableColumn id="73" xr3:uid="{EF49EA19-FFFC-4C92-9B2C-86AA91A50C3D}" uniqueName="73" name="Aantal korpsen" totalsRowFunction="sum" queryTableFieldId="91" totalsRowDxfId="787"/>
    <tableColumn id="74" xr3:uid="{BF742F9A-AB07-41AB-9E1D-AB7B7B3271C4}" uniqueName="74" name="Opgegeven jeugdkorpsen LG" totalsRowFunction="sum" queryTableFieldId="92" totalsRowDxfId="788"/>
    <tableColumn id="45" xr3:uid="{19947D8E-C146-4F61-8E81-67BD20023F28}" uniqueName="45" name="Totaal aantal deelnemers" totalsRowFunction="sum" queryTableFieldId="45" dataDxfId="703" totalsRowDxfId="789"/>
    <tableColumn id="46" xr3:uid="{BB8D92BB-D698-4DE2-8134-A64DC678E0D4}" uniqueName="46" name="Waarvan aantal jeugd (t/m 15 jaar)" totalsRowFunction="sum" queryTableFieldId="46" dataDxfId="702" totalsRowDxfId="790"/>
    <tableColumn id="47" xr3:uid="{1B7EF0F4-ACE2-4E41-9F1B-912D63ADE04E}" uniqueName="47" name="Kanon etc." totalsRowFunction="custom" queryTableFieldId="47" dataDxfId="701" totalsRowDxfId="791">
      <totalsRowFormula>COUNTIF(KDM[Kanon etc.],"x")</totalsRowFormula>
    </tableColumn>
    <tableColumn id="48" xr3:uid="{7007A11F-6D10-44D9-86B5-53AAE3FE5038}" uniqueName="48" name="Paarden en/of koetsen" totalsRowFunction="custom" queryTableFieldId="48" dataDxfId="700" totalsRowDxfId="792">
      <totalsRowFormula>COUNTIF(KDM[Paarden en/of koetsen],"x")</totalsRowFormula>
    </tableColumn>
    <tableColumn id="49" xr3:uid="{5A6DB413-3256-420D-A58A-662346BDCF67}" uniqueName="49" name="Toelichting/opmerkingen" queryTableFieldId="49" dataDxfId="699" totalsRowDxfId="793"/>
    <tableColumn id="50" xr3:uid="{6FBEB53C-FE4E-4FE9-A15E-1549EA66F05B}" uniqueName="50" name="Inzending-ID" queryTableFieldId="50" totalsRowDxfId="794"/>
    <tableColumn id="51" xr3:uid="{344A8F98-6529-45AB-9EA1-CAC68E8EA1D6}" uniqueName="51" name="Inzenddatum" queryTableFieldId="51" dataDxfId="698" totalsRowDxfId="795"/>
    <tableColumn id="75" xr3:uid="{0190D9CB-AEC1-474C-B0C9-2997F247F263}" uniqueName="75" name="Date Updated" queryTableFieldId="93" dataDxfId="697" totalsRowDxfId="796"/>
    <tableColumn id="52" xr3:uid="{59AD6DB3-558C-4CE3-AE1C-3F6D275437D2}" uniqueName="52" name="Naam van het hoofdkorps" queryTableFieldId="52" totalsRowDxfId="797"/>
    <tableColumn id="53" xr3:uid="{1E6E0AB3-6015-4B6B-9965-94D3A13E0117}" uniqueName="53" name="Zal op treden als (hoofdkorps)" queryTableFieldId="53" totalsRowDxfId="798"/>
    <tableColumn id="54" xr3:uid="{3F26E9C8-0175-4E71-978E-080659366137}" uniqueName="54" name="Vorm van twee muziekwerken (hoofdkorps)" queryTableFieldId="54" totalsRowDxfId="799"/>
    <tableColumn id="55" xr3:uid="{EE89679C-3970-404F-9DC4-1E46686BDAE4}" uniqueName="55" name="Zal uitkomen in de: (hoofdkorps)" queryTableFieldId="55" totalsRowDxfId="800"/>
    <tableColumn id="56" xr3:uid="{8E3A8F5A-F2ED-479D-AA23-12C3B156CA44}" uniqueName="56" name="Muziekwerk1 (hoofdkorps)" queryTableFieldId="56" totalsRowDxfId="801"/>
    <tableColumn id="57" xr3:uid="{B3F66E59-A470-4AD5-BCB9-792E70E49122}" uniqueName="57" name="Muziekwerk2 (hoofdkorps)" queryTableFieldId="57" totalsRowDxfId="802"/>
    <tableColumn id="58" xr3:uid="{5BD80B3A-4601-40F3-9C5F-D5745A2E1D4F}" uniqueName="58" name="Korps bestaat uit ... deelnemers (hoofdkorps)" queryTableFieldId="58" totalsRowDxfId="803"/>
    <tableColumn id="59" xr3:uid="{6451A10A-8F21-479F-81F4-05223DCEF067}" uniqueName="59" name="Naam van het 2e korps" queryTableFieldId="59" totalsRowDxfId="804"/>
    <tableColumn id="60" xr3:uid="{4EA1AC0E-82AF-48C9-9A20-754D75158E2A}" uniqueName="60" name="Zal op treden als (2e korps)" queryTableFieldId="60" totalsRowDxfId="805"/>
    <tableColumn id="61" xr3:uid="{7EC431FA-4B8A-4F25-B8BB-20A579B53005}" uniqueName="61" name="Vorm van twee muziekwerken (2e korps)" queryTableFieldId="61" totalsRowDxfId="806"/>
    <tableColumn id="62" xr3:uid="{849EE010-E7D6-4D9A-9D23-56B356AF0CA3}" uniqueName="62" name="Zal uitkomen in de: (2e korps)" queryTableFieldId="62" totalsRowDxfId="807"/>
    <tableColumn id="63" xr3:uid="{94F7FEBF-4B5B-4A7C-A471-B08B86B9310D}" uniqueName="63" name="Muziekwerk1 (2e korps)" queryTableFieldId="63" totalsRowDxfId="808"/>
    <tableColumn id="64" xr3:uid="{33C24921-A5F4-4638-8F58-935D9D9EDCA2}" uniqueName="64" name="Muziekwerk2 (2e korps)" queryTableFieldId="64" totalsRowDxfId="809"/>
    <tableColumn id="65" xr3:uid="{F7EABD4C-084D-4662-AD89-CB1E4F218DD7}" uniqueName="65" name="Korps bestaat uit ... deelnemers (2e korps)" queryTableFieldId="65" totalsRowDxfId="810"/>
    <tableColumn id="69" xr3:uid="{FB2AB4C9-6C3D-4BF2-9B4F-41C9179239B0}" uniqueName="69" name="Mechanische muziek" queryTableFieldId="69" totalsRowDxfId="811"/>
    <tableColumn id="66" xr3:uid="{0B450FBA-12EF-4BCE-859B-4B12FD085D93}" uniqueName="66" name="Onderdelen" queryTableFieldId="66" totalsRowDxfId="812"/>
    <tableColumn id="67" xr3:uid="{0015294C-99BF-4EDB-A3AF-578345E11467}" uniqueName="67" name="Secties" queryTableFieldId="67" totalsRowDxfId="813"/>
    <tableColumn id="68" xr3:uid="{4F44F759-96C2-4758-96A5-ED0DFA76F905}" uniqueName="68" name="Leeftijdscategorie" queryTableFieldId="68" totalsRowDxfId="814"/>
    <tableColumn id="70" xr3:uid="{884558A7-621E-4038-A8CB-DC3F0C3BC985}" uniqueName="70" name="Aantal opgegeven majorettes" totalsRowFunction="sum" queryTableFieldId="70" dataDxfId="696" totalsRowDxfId="815"/>
  </tableColumns>
  <tableStyleInfo name="TableStyleMedium7"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C7859E2-FEBE-4C6B-878D-0D5F2E3A3C55}" name="KDL" displayName="KDL" ref="A6:BW16" tableType="queryTable" totalsRowCount="1" headerRowDxfId="853" dataDxfId="852" totalsRowDxfId="851">
  <autoFilter ref="A6:BW15" xr:uid="{1C7859E2-FEBE-4C6B-878D-0D5F2E3A3C55}"/>
  <tableColumns count="75">
    <tableColumn id="1" xr3:uid="{EDB78B54-2831-4A3D-80E1-F75B83FDB926}" uniqueName="1" name="Kringdag" totalsRowLabel="Totaal" queryTableFieldId="1"/>
    <tableColumn id="2" xr3:uid="{0D1A2C2A-0BDC-4083-81A8-3EC5C388101A}" uniqueName="2" name="Ver.nr" queryTableFieldId="2" dataDxfId="850"/>
    <tableColumn id="3" xr3:uid="{4B36CDC0-BE6D-4356-8E00-F9631326E778}" uniqueName="3" name="Naam vereniging" totalsRowFunction="count" queryTableFieldId="3"/>
    <tableColumn id="4" xr3:uid="{57B71CC3-5284-41D1-A7D9-9906AC9634FE}" uniqueName="4" name="Delegatie" totalsRowFunction="custom" queryTableFieldId="4" dataDxfId="623" totalsRowDxfId="624">
      <totalsRowFormula>COUNTIF(KDL[Delegatie],"x")</totalsRowFormula>
    </tableColumn>
    <tableColumn id="5" xr3:uid="{9A308465-DBD5-4A7C-95A8-4E71EB8C6AAF}" uniqueName="5" name="Muziekkorps bij mars en defilé" totalsRowFunction="custom" queryTableFieldId="5" dataDxfId="622" totalsRowDxfId="625">
      <totalsRowFormula>COUNTIF(KDL[Muziekkorps bij mars en defilé],"x")</totalsRowFormula>
    </tableColumn>
    <tableColumn id="6" xr3:uid="{E5A6E810-09C2-4076-9D5E-306B6D89F27A}" uniqueName="6" name="Deeln. jeugdkoningschieten" totalsRowFunction="custom" queryTableFieldId="6" dataDxfId="621" totalsRowDxfId="626">
      <totalsRowFormula>COUNTIF(KDL[Deeln. jeugdkoningschieten],"x")</totalsRowFormula>
    </tableColumn>
    <tableColumn id="7" xr3:uid="{93BE05C0-88AF-4904-B3C7-DF10389B13F3}" uniqueName="7" name="Maj. Senioren jureren bij mars" totalsRowFunction="custom" queryTableFieldId="7" dataDxfId="620" totalsRowDxfId="627">
      <totalsRowFormula>COUNTIF(KDL[Maj. Senioren jureren bij mars],"x")</totalsRowFormula>
    </tableColumn>
    <tableColumn id="8" xr3:uid="{4C7B2FE6-832A-4E27-8246-09B69E8561ED}" uniqueName="8" name="Maj. Jeugd jureren bij mars" totalsRowFunction="custom" queryTableFieldId="8" dataDxfId="619" totalsRowDxfId="628">
      <totalsRowFormula>COUNTIF(KDL[Maj. Jeugd jureren bij mars],"x")</totalsRowFormula>
    </tableColumn>
    <tableColumn id="9" xr3:uid="{86857107-905A-45D3-A248-DF36A76EEACD}" uniqueName="9" name="Korps senioren" totalsRowFunction="count" queryTableFieldId="9" dataDxfId="618" totalsRowDxfId="629"/>
    <tableColumn id="10" xr3:uid="{64891433-2EA9-4372-ACAE-76A1D5AC81EC}" uniqueName="10" name="Junioren korps 1" totalsRowFunction="count" queryTableFieldId="118" totalsRowDxfId="630"/>
    <tableColumn id="11" xr3:uid="{B28C65B2-21C8-451E-9541-C2B66F10D332}" uniqueName="11" name="Junioren korps 2" totalsRowFunction="count" queryTableFieldId="119" totalsRowDxfId="631"/>
    <tableColumn id="26" xr3:uid="{4E739CF1-6FB4-4B45-84D9-54FCD1BB1952}" uniqueName="26" name="Aspiranten korps 1" totalsRowFunction="count" queryTableFieldId="120" totalsRowDxfId="632"/>
    <tableColumn id="30" xr3:uid="{6687C010-AB49-4766-A7C7-08EF3634C339}" uniqueName="30" name="Aspiranten korps 2" totalsRowFunction="count" queryTableFieldId="121" totalsRowDxfId="633"/>
    <tableColumn id="12" xr3:uid="{CB8CD2DD-8D30-408A-B33C-B2916D5F187D}" uniqueName="12" name="Acrobatisch senioren" totalsRowFunction="count" queryTableFieldId="12" dataDxfId="617" totalsRowDxfId="634"/>
    <tableColumn id="13" xr3:uid="{7BC2D42F-89AD-4F62-8BFD-E1AD8A37641E}" uniqueName="13" name="Acrobatisch junioren" totalsRowFunction="count" queryTableFieldId="13" dataDxfId="616" totalsRowDxfId="635"/>
    <tableColumn id="14" xr3:uid="{330BFF1B-27FC-4155-B519-6495DA9BD45B}" uniqueName="14" name="Acrobatisch aspiranten" totalsRowFunction="count" queryTableFieldId="14" dataDxfId="615" totalsRowDxfId="636"/>
    <tableColumn id="15" xr3:uid="{2D2BB7A2-8C97-49E6-B53D-63E8AF0F9F19}" uniqueName="15" name="Show senioren" queryTableFieldId="15" dataDxfId="614" totalsRowDxfId="637"/>
    <tableColumn id="16" xr3:uid="{C8AA7E52-A5AA-49D9-9C80-7E774E1ABE92}" uniqueName="16" name="Show junioren" queryTableFieldId="16" dataDxfId="613" totalsRowDxfId="638"/>
    <tableColumn id="17" xr3:uid="{9A12D42C-2B39-40A3-A2F1-2917B2720C46}" uniqueName="17" name="Show aspiranten" queryTableFieldId="17" dataDxfId="612" totalsRowDxfId="639"/>
    <tableColumn id="18" xr3:uid="{0EF7E319-9FB2-4E30-AF3A-3E5FFFD9F1B3}" uniqueName="18" name="Senioren indiv." totalsRowFunction="sum" queryTableFieldId="18" totalsRowDxfId="640"/>
    <tableColumn id="19" xr3:uid="{ACA69D3E-42F7-4DF7-994A-58F128DD57CD}" uniqueName="19" name="Junioren indiv." totalsRowFunction="sum" queryTableFieldId="19" totalsRowDxfId="641"/>
    <tableColumn id="20" xr3:uid="{7DF3479B-E7CA-4ED8-8FFB-71114DC9E25D}" uniqueName="20" name="Aspiranten indiv." totalsRowFunction="sum" queryTableFieldId="20" totalsRowDxfId="642"/>
    <tableColumn id="21" xr3:uid="{A650067B-0908-45E6-94D7-BD335B7C960E}" uniqueName="21" name="Sen. ind opgegeven namen" totalsRowFunction="sum" queryTableFieldId="21" totalsRowDxfId="643"/>
    <tableColumn id="22" xr3:uid="{612D4C3E-F94F-49C2-88F1-08C412907B83}" uniqueName="22" name="Jun. ind opgegeven namen" totalsRowFunction="sum" queryTableFieldId="22" totalsRowDxfId="644"/>
    <tableColumn id="23" xr3:uid="{633E5A2E-3E25-4ACB-A752-43604A9560A6}" uniqueName="23" name="Asp. ind opgegeven namen" totalsRowFunction="sum" queryTableFieldId="23" totalsRowDxfId="645"/>
    <tableColumn id="24" xr3:uid="{57956973-6970-47BC-9FFF-BDFB06BEC464}" uniqueName="24" name="Hoofdkorps" totalsRowFunction="custom" queryTableFieldId="24" dataDxfId="611" totalsRowDxfId="646">
      <totalsRowFormula>COUNTIF(KDL[Hoofdkorps],"x")</totalsRowFormula>
    </tableColumn>
    <tableColumn id="25" xr3:uid="{04B5A3D8-FF1D-4275-8E2B-AA4A59A34E8B}" uniqueName="25" name="2e korps" totalsRowFunction="custom" queryTableFieldId="25" dataDxfId="610" totalsRowDxfId="647">
      <totalsRowFormula>COUNTIF(KDL[2e korps],"x")</totalsRowFormula>
    </tableColumn>
    <tableColumn id="31" xr3:uid="{2433CA1F-6379-4CDF-9024-3EC6CBF0DFBF}" uniqueName="31" name="Groepen, teams, ensembles en duo's" totalsRowFunction="sum" queryTableFieldId="86" totalsRowDxfId="648"/>
    <tableColumn id="27" xr3:uid="{01EAE119-1717-4DB1-BCC1-076158F2B7D3}" uniqueName="27" name="Senioren" totalsRowFunction="sum" queryTableFieldId="27" dataDxfId="609" totalsRowDxfId="649"/>
    <tableColumn id="32" xr3:uid="{FED96D10-E0EA-4F9F-8FD4-47FED620F130}" uniqueName="32" name="Jong volwassene" totalsRowFunction="sum" queryTableFieldId="87" totalsRowDxfId="650"/>
    <tableColumn id="28" xr3:uid="{E6DAF836-35E4-476B-9579-13EEC2C54509}" uniqueName="28" name="Junioren" totalsRowFunction="sum" queryTableFieldId="28" totalsRowDxfId="651"/>
    <tableColumn id="29" xr3:uid="{B862400F-87B7-4AAF-AF98-CB5C9C41067D}" uniqueName="29" name="Aspiranten" totalsRowFunction="sum" queryTableFieldId="29" totalsRowDxfId="652"/>
    <tableColumn id="35" xr3:uid="{7A608A6E-F5CA-4BDE-97A3-3990A6548B2B}" uniqueName="35" name="Opgegeven senioren" totalsRowFunction="sum" queryTableFieldId="88" totalsRowDxfId="653"/>
    <tableColumn id="37" xr3:uid="{F4A70C4B-99E1-4110-BBD5-E5280BA35F3F}" uniqueName="37" name="Opgegeven jong volwassene" totalsRowFunction="sum" queryTableFieldId="89" totalsRowDxfId="654"/>
    <tableColumn id="39" xr3:uid="{9B8173CA-169C-4CD4-87A7-2DC9BE602D67}" uniqueName="39" name="Opgegeven junioren" totalsRowFunction="sum" queryTableFieldId="90" totalsRowDxfId="655"/>
    <tableColumn id="41" xr3:uid="{1135793E-2C37-4A39-83C0-08BD19122C9D}" uniqueName="41" name="Opgegeven aspiranten" totalsRowFunction="sum" queryTableFieldId="91" totalsRowDxfId="656"/>
    <tableColumn id="33" xr3:uid="{8FF26CA8-7516-4CEB-8709-358028484F6C}" uniqueName="33" name="Marketentsters" totalsRowFunction="custom" queryTableFieldId="33" dataDxfId="608" totalsRowDxfId="657">
      <totalsRowFormula>COUNTIF(KDL[Marketentsters],"x")</totalsRowFormula>
    </tableColumn>
    <tableColumn id="34" xr3:uid="{B0C87D6D-0274-439D-9F3B-B0658AED1BBD}" uniqueName="34" name="Luchtgeweer" totalsRowFunction="custom" queryTableFieldId="34" dataDxfId="607" totalsRowDxfId="658">
      <totalsRowFormula>COUNTIF(KDL[Luchtgeweer],"x")</totalsRowFormula>
    </tableColumn>
    <tableColumn id="42" xr3:uid="{5BE41AA9-6D2D-4AAD-AC70-B8AFB45A7A0C}" uniqueName="42" name="Aantal luchtgeweerschutters" totalsRowFunction="sum" queryTableFieldId="92" totalsRowDxfId="659"/>
    <tableColumn id="36" xr3:uid="{5C863D58-2733-4033-9435-D482AA08ADCB}" uniqueName="36" name="Luchtpistool" totalsRowFunction="custom" queryTableFieldId="36" dataDxfId="606" totalsRowDxfId="660">
      <totalsRowFormula>COUNTIF(KDL[Luchtpistool],"x")</totalsRowFormula>
    </tableColumn>
    <tableColumn id="43" xr3:uid="{4354801C-48D7-4389-87A6-9B5DB9CED9FC}" uniqueName="43" name="Aantal luchtpistoolschutters" totalsRowFunction="sum" queryTableFieldId="93" totalsRowDxfId="661"/>
    <tableColumn id="40" xr3:uid="{232916E5-1725-4C06-AE87-F05E98E84376}" uniqueName="40" name="Handboog" totalsRowFunction="custom" queryTableFieldId="40" dataDxfId="605" totalsRowDxfId="662">
      <totalsRowFormula>COUNTIF(KDL[Handboog],"x")</totalsRowFormula>
    </tableColumn>
    <tableColumn id="44" xr3:uid="{E49D6762-67FB-4AD1-8906-865B907216FD}" uniqueName="44" name="Aantal handboogschutters" totalsRowFunction="sum" queryTableFieldId="94" totalsRowDxfId="663"/>
    <tableColumn id="38" xr3:uid="{FF49762E-1EDE-4A60-B2B3-F57682D2F581}" uniqueName="38" name="Kruisboog" totalsRowFunction="custom" queryTableFieldId="38" dataDxfId="604" totalsRowDxfId="664">
      <totalsRowFormula>COUNTIF(KDL[Kruisboog],"x")</totalsRowFormula>
    </tableColumn>
    <tableColumn id="71" xr3:uid="{B6F67F3D-41FE-4C39-A0D0-5AC402847995}" uniqueName="71" name="Aantal kruisboogschutters" totalsRowFunction="sum" queryTableFieldId="95" totalsRowDxfId="665"/>
    <tableColumn id="72" xr3:uid="{71B82EDC-AC07-47BC-80F1-572A42A9EA7D}" uniqueName="72" name="Luchtgeweer jeugd niet ouder dan 17 jaar." totalsRowFunction="custom" queryTableFieldId="96" dataDxfId="849" totalsRowDxfId="666">
      <totalsRowFormula>COUNTIF(KDL[Luchtgeweer jeugd niet ouder dan 17 jaar.],"x")</totalsRowFormula>
    </tableColumn>
    <tableColumn id="73" xr3:uid="{7A6FDD62-7623-47AC-BE61-54C9DD155FCD}" uniqueName="73" name="Aantal korpsen" totalsRowFunction="sum" queryTableFieldId="97" totalsRowDxfId="667"/>
    <tableColumn id="74" xr3:uid="{79906B44-290E-4BFF-8446-6F2A14243E37}" uniqueName="74" name="Opgegeven jeugdkorpsen LG" totalsRowFunction="sum" queryTableFieldId="98" totalsRowDxfId="668"/>
    <tableColumn id="45" xr3:uid="{6FE91AB4-F0BF-4229-863C-5C3B0B0C150F}" uniqueName="45" name="Totaal aantal deelnemers" totalsRowFunction="sum" queryTableFieldId="45" dataDxfId="603" totalsRowDxfId="669"/>
    <tableColumn id="46" xr3:uid="{3F920BB7-39BB-472A-9E05-9D16E946E754}" uniqueName="46" name="Waarvan aantal jeugd (t/m 15 jaar)" totalsRowFunction="sum" queryTableFieldId="46" dataDxfId="602" totalsRowDxfId="670"/>
    <tableColumn id="47" xr3:uid="{5F6639A2-1A58-4EE2-8A88-7CE4C28DE14E}" uniqueName="47" name="Kanon etc." totalsRowFunction="custom" queryTableFieldId="47" dataDxfId="601" totalsRowDxfId="671">
      <totalsRowFormula>COUNTIF(KDL[Kanon etc.],"x")</totalsRowFormula>
    </tableColumn>
    <tableColumn id="48" xr3:uid="{75E9B5DB-26ED-4455-8D06-5EBB0489B6E5}" uniqueName="48" name="Paarden en/of koetsen" totalsRowFunction="custom" queryTableFieldId="48" dataDxfId="600" totalsRowDxfId="672">
      <totalsRowFormula>COUNTIF(KDL[Paarden en/of koetsen],"x")</totalsRowFormula>
    </tableColumn>
    <tableColumn id="49" xr3:uid="{A2F351EF-BF6A-4EF2-B20F-ACD1F3D421D5}" uniqueName="49" name="Toelichting/opmerkingen" queryTableFieldId="49" dataDxfId="599" totalsRowDxfId="673"/>
    <tableColumn id="50" xr3:uid="{8E6E3B2B-A3E8-463D-9C6C-E7EB38640090}" uniqueName="50" name="Inzending-ID" queryTableFieldId="50" dataDxfId="848" totalsRowDxfId="674"/>
    <tableColumn id="51" xr3:uid="{7C7C4003-91EC-471F-86E1-E7F95D4AF041}" uniqueName="51" name="Inzenddatum" queryTableFieldId="51" dataDxfId="598" totalsRowDxfId="675"/>
    <tableColumn id="75" xr3:uid="{74353F0E-ABA6-4C8C-8036-8E81B5968782}" uniqueName="75" name="Date Updated" queryTableFieldId="99" dataDxfId="597" totalsRowDxfId="676"/>
    <tableColumn id="52" xr3:uid="{571854C2-F9B4-4AC2-B42B-5B307450030A}" uniqueName="52" name="Naam van het hoofdkorps" queryTableFieldId="52" totalsRowDxfId="677"/>
    <tableColumn id="53" xr3:uid="{98BDBCEE-4546-409E-9965-16FBFF631FDD}" uniqueName="53" name="Zal op treden als (hoofdkorps)" queryTableFieldId="53" totalsRowDxfId="678"/>
    <tableColumn id="54" xr3:uid="{6DAD7732-30CB-40CD-BC61-9F4E1AE160E4}" uniqueName="54" name="Vorm van twee muziekwerken (hoofdkorps)" queryTableFieldId="54" totalsRowDxfId="679"/>
    <tableColumn id="55" xr3:uid="{64F6BB10-27FA-451D-957A-3CF7BB6B07E3}" uniqueName="55" name="Zal uitkomen in de: (hoofdkorps)" queryTableFieldId="55" totalsRowDxfId="680"/>
    <tableColumn id="56" xr3:uid="{1667CE51-ED48-444B-A5E4-5F1FF62BAAB5}" uniqueName="56" name="Muziekwerk1 (hoofdkorps)" queryTableFieldId="56" totalsRowDxfId="681"/>
    <tableColumn id="57" xr3:uid="{F0C01F3E-6748-4F03-A3F5-EAD5689C0D7E}" uniqueName="57" name="Muziekwerk2 (hoofdkorps)" queryTableFieldId="57" totalsRowDxfId="682"/>
    <tableColumn id="58" xr3:uid="{109CA614-CF3C-4518-B10C-FB3A5F35C8AD}" uniqueName="58" name="Korps bestaat uit ... deelnemers (hoofdkorps)" queryTableFieldId="58" dataDxfId="847" totalsRowDxfId="683"/>
    <tableColumn id="59" xr3:uid="{EBB1025D-9F16-4477-A93E-585F35700005}" uniqueName="59" name="Naam van het 2e korps" queryTableFieldId="59" totalsRowDxfId="684"/>
    <tableColumn id="60" xr3:uid="{0D55EFB6-EB3C-48F1-BC90-A91C74796335}" uniqueName="60" name="Zal op treden als (2e korps)" queryTableFieldId="60" totalsRowDxfId="685"/>
    <tableColumn id="61" xr3:uid="{065270A4-DBC9-4E3A-A7C3-E96A4989AF08}" uniqueName="61" name="Vorm van twee muziekwerken (2e korps)" queryTableFieldId="61" totalsRowDxfId="686"/>
    <tableColumn id="62" xr3:uid="{03937D12-4562-4E96-9188-B44366F2059B}" uniqueName="62" name="Zal uitkomen in de: (2e korps)" queryTableFieldId="62" totalsRowDxfId="687"/>
    <tableColumn id="63" xr3:uid="{B96BCE7B-0A0F-4096-94A7-1727983FCF81}" uniqueName="63" name="Muziekwerk1 (2e korps)" queryTableFieldId="63" totalsRowDxfId="688"/>
    <tableColumn id="64" xr3:uid="{A699F2C8-7164-4116-821E-E1F7ECBB16CF}" uniqueName="64" name="Muziekwerk2 (2e korps)" queryTableFieldId="64" dataDxfId="596" totalsRowDxfId="689"/>
    <tableColumn id="65" xr3:uid="{14F077BD-BA28-4657-A9D6-903661E69000}" uniqueName="65" name="Korps bestaat uit ... deelnemers (2e korps)" queryTableFieldId="65" totalsRowDxfId="690"/>
    <tableColumn id="69" xr3:uid="{7D5E67A8-F62C-41DA-9BDF-AF828627EB01}" uniqueName="69" name="Mechanische muziek" queryTableFieldId="69" dataDxfId="595" totalsRowDxfId="691"/>
    <tableColumn id="66" xr3:uid="{6CE245F9-18FA-40DF-94FF-BC235CEB698A}" uniqueName="66" name="Onderdelen" queryTableFieldId="66" dataDxfId="594" totalsRowDxfId="692"/>
    <tableColumn id="67" xr3:uid="{FA63884A-B82F-4383-8AC3-1D99260FC1BA}" uniqueName="67" name="Secties" queryTableFieldId="67" dataDxfId="593" totalsRowDxfId="693"/>
    <tableColumn id="68" xr3:uid="{7B6A9F6F-BB58-42BA-91AE-B6DA6ABC2578}" uniqueName="68" name="Leeftijdscategorie" queryTableFieldId="68" dataDxfId="592" totalsRowDxfId="694"/>
    <tableColumn id="70" xr3:uid="{5BE6C664-B0D1-466F-92E1-918FBA88A5E0}" uniqueName="70" name="Aantal opgegeven majorettes" totalsRowFunction="sum" queryTableFieldId="70" totalsRowDxfId="695"/>
  </tableColumns>
  <tableStyleInfo name="TableStyleMedium7"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33CA51-300D-4E19-87BD-CE9A932A5F64}" name="KDA" displayName="KDA" ref="A6:BW19" tableType="queryTable" totalsRowCount="1" headerRowDxfId="846" dataDxfId="845" totalsRowDxfId="844">
  <autoFilter ref="A6:BW18" xr:uid="{1533CA51-300D-4E19-87BD-CE9A932A5F64}"/>
  <tableColumns count="75">
    <tableColumn id="1" xr3:uid="{F93438CA-5BC1-40B0-AC53-A5A974368AF7}" uniqueName="1" name="Kringdag" totalsRowLabel="Totaal" queryTableFieldId="1" dataDxfId="438"/>
    <tableColumn id="2" xr3:uid="{11BCB282-4F36-4774-AA5B-AA23FFE13890}" uniqueName="2" name="Ver.nr" queryTableFieldId="2" dataDxfId="437"/>
    <tableColumn id="3" xr3:uid="{F2EA5EB1-97BC-48C0-A4CC-D5A0A1764FF3}" uniqueName="3" name="Naam vereniging" totalsRowFunction="count" queryTableFieldId="3"/>
    <tableColumn id="4" xr3:uid="{B8495924-00E2-444B-89A8-BD52A8328D25}" uniqueName="4" name="Delegatie" totalsRowFunction="custom" queryTableFieldId="4" dataDxfId="436" totalsRowDxfId="439">
      <totalsRowFormula>COUNTIF(KDA[Delegatie],"x")</totalsRowFormula>
    </tableColumn>
    <tableColumn id="5" xr3:uid="{E06FC56F-DD67-466F-93BC-7471DD416A1A}" uniqueName="5" name="Muziekkorps bij mars en defilé" totalsRowFunction="custom" queryTableFieldId="5" dataDxfId="435" totalsRowDxfId="440">
      <totalsRowFormula>COUNTIF(KDA[Muziekkorps bij mars en defilé],"x")</totalsRowFormula>
    </tableColumn>
    <tableColumn id="6" xr3:uid="{B2C1A0BA-64B2-4B29-A89F-F4361D7EDDA2}" uniqueName="6" name="Deeln. jeugdkoningschieten" totalsRowFunction="custom" queryTableFieldId="6" dataDxfId="434" totalsRowDxfId="441">
      <totalsRowFormula>COUNTIF(KDA[Deeln. jeugdkoningschieten],"x")</totalsRowFormula>
    </tableColumn>
    <tableColumn id="7" xr3:uid="{DD3AFF5E-1BCA-48EA-9B7A-BF4825D60A07}" uniqueName="7" name="Maj. Senioren jureren bij mars" totalsRowFunction="custom" queryTableFieldId="7" dataDxfId="433" totalsRowDxfId="442">
      <totalsRowFormula>COUNTIF(KDA[Maj. Senioren jureren bij mars],"x")</totalsRowFormula>
    </tableColumn>
    <tableColumn id="8" xr3:uid="{AC812AEA-FD1F-434D-93D9-F04B994734F3}" uniqueName="8" name="Maj. Jeugd jureren bij mars" totalsRowFunction="custom" queryTableFieldId="8" dataDxfId="432" totalsRowDxfId="443">
      <totalsRowFormula>COUNTIF(KDA[Maj. Jeugd jureren bij mars],"x")</totalsRowFormula>
    </tableColumn>
    <tableColumn id="9" xr3:uid="{103082B0-6247-47F4-808D-327BE9CB1B80}" uniqueName="9" name="Korps senioren" totalsRowFunction="count" queryTableFieldId="9" dataDxfId="431" totalsRowDxfId="444"/>
    <tableColumn id="10" xr3:uid="{D74E8F12-96A3-424F-A6C2-D1D436652E47}" uniqueName="10" name="Junioren korps 1" totalsRowFunction="count" queryTableFieldId="112" totalsRowDxfId="445"/>
    <tableColumn id="11" xr3:uid="{6BA5C00F-7B52-490C-8F8A-10903D727ED5}" uniqueName="11" name="Junioren korps 2" totalsRowFunction="count" queryTableFieldId="113" totalsRowDxfId="446"/>
    <tableColumn id="26" xr3:uid="{22819178-6A63-482A-9494-31DC8CECDA5A}" uniqueName="26" name="Aspiranten korps 1" totalsRowFunction="count" queryTableFieldId="114" dataDxfId="430" totalsRowDxfId="447"/>
    <tableColumn id="30" xr3:uid="{7B9B50E1-7D1D-495E-B261-7AB482B0DD39}" uniqueName="30" name="Aspiranten korps 2" totalsRowFunction="count" queryTableFieldId="115" totalsRowDxfId="448"/>
    <tableColumn id="12" xr3:uid="{E66D5DFB-32B6-42AC-B4D5-E30137B204C2}" uniqueName="12" name="Acrobatisch senioren" totalsRowFunction="count" queryTableFieldId="12" dataDxfId="429" totalsRowDxfId="449"/>
    <tableColumn id="13" xr3:uid="{F1F58774-FA3B-4D0D-93AB-C2468779E24B}" uniqueName="13" name="Acrobatisch junioren" totalsRowFunction="count" queryTableFieldId="13" dataDxfId="428" totalsRowDxfId="450"/>
    <tableColumn id="14" xr3:uid="{0ADA7D06-C504-4FDF-9B22-532627DA442D}" uniqueName="14" name="Acrobatisch aspiranten" totalsRowFunction="count" queryTableFieldId="14" dataDxfId="427" totalsRowDxfId="451"/>
    <tableColumn id="15" xr3:uid="{003A0629-A841-482D-9497-FD928CA63AC3}" uniqueName="15" name="Show senioren" queryTableFieldId="15" dataDxfId="426" totalsRowDxfId="452"/>
    <tableColumn id="16" xr3:uid="{A07346AE-9183-4CAB-8290-6FB260E88BDA}" uniqueName="16" name="Show junioren" queryTableFieldId="16" dataDxfId="425" totalsRowDxfId="453"/>
    <tableColumn id="17" xr3:uid="{42782677-0BC4-4B59-83D0-AAD146CED9A7}" uniqueName="17" name="Show aspiranten" queryTableFieldId="17" dataDxfId="424" totalsRowDxfId="454"/>
    <tableColumn id="18" xr3:uid="{993FA367-ECDB-4796-BBF5-2C8A80786752}" uniqueName="18" name="Senioren indiv." totalsRowFunction="sum" queryTableFieldId="18" totalsRowDxfId="455"/>
    <tableColumn id="19" xr3:uid="{E4B93A7E-C99D-404B-958A-53AC9915538B}" uniqueName="19" name="Junioren indiv." totalsRowFunction="sum" queryTableFieldId="19" totalsRowDxfId="456"/>
    <tableColumn id="20" xr3:uid="{9CBBE6CF-215E-41EA-B4B8-01218CA064F0}" uniqueName="20" name="Aspiranten indiv." totalsRowFunction="sum" queryTableFieldId="20" totalsRowDxfId="457"/>
    <tableColumn id="21" xr3:uid="{48A9223C-9738-4246-9658-2291CBBF5BDB}" uniqueName="21" name="Sen. ind opgegeven namen" totalsRowFunction="sum" queryTableFieldId="21" totalsRowDxfId="458"/>
    <tableColumn id="22" xr3:uid="{A363B7BF-C1DB-409E-BE12-FF3A85F26564}" uniqueName="22" name="Jun. ind opgegeven namen" totalsRowFunction="sum" queryTableFieldId="22" totalsRowDxfId="459"/>
    <tableColumn id="23" xr3:uid="{7190C7B5-C1FE-47B2-B536-10BD609396FA}" uniqueName="23" name="Asp. ind opgegeven namen" totalsRowFunction="sum" queryTableFieldId="23" totalsRowDxfId="460"/>
    <tableColumn id="24" xr3:uid="{33B74F72-409E-46A1-9666-8832CDB341F9}" uniqueName="24" name="Hoofdkorps" totalsRowFunction="custom" queryTableFieldId="24" dataDxfId="423" totalsRowDxfId="461">
      <totalsRowFormula>COUNTIF(KDA[Hoofdkorps],"x")</totalsRowFormula>
    </tableColumn>
    <tableColumn id="25" xr3:uid="{E75BA82A-4EC4-43EC-8CDA-F4B633611053}" uniqueName="25" name="2e korps" totalsRowFunction="custom" queryTableFieldId="25" dataDxfId="422" totalsRowDxfId="462">
      <totalsRowFormula>COUNTIF(KDA[2e korps],"x")</totalsRowFormula>
    </tableColumn>
    <tableColumn id="31" xr3:uid="{8C17FF84-91ED-4367-96B0-D5E9C2E308AA}" uniqueName="31" name="Groepen, teams, ensembles en duo's" totalsRowFunction="sum" queryTableFieldId="80" totalsRowDxfId="463"/>
    <tableColumn id="27" xr3:uid="{78F4C8EC-321C-48CA-A6EA-B4EF44603AD1}" uniqueName="27" name="Senioren" totalsRowFunction="sum" queryTableFieldId="27" totalsRowDxfId="464"/>
    <tableColumn id="32" xr3:uid="{A8E6E228-1CC8-4B2E-B7B8-71C2D810E97D}" uniqueName="32" name="Jong volwassene" totalsRowFunction="sum" queryTableFieldId="81" totalsRowDxfId="465"/>
    <tableColumn id="28" xr3:uid="{013C1948-F539-46B8-97DF-5FC55797320E}" uniqueName="28" name="Junioren" totalsRowFunction="sum" queryTableFieldId="28" totalsRowDxfId="466"/>
    <tableColumn id="29" xr3:uid="{392E162D-5ED4-47A0-A7C3-2155E0008E03}" uniqueName="29" name="Aspiranten" totalsRowFunction="sum" queryTableFieldId="29" totalsRowDxfId="467"/>
    <tableColumn id="35" xr3:uid="{52752A42-08CC-444F-8FCC-27D3B8816379}" uniqueName="35" name="Opgegeven senioren" totalsRowFunction="sum" queryTableFieldId="82" totalsRowDxfId="468"/>
    <tableColumn id="37" xr3:uid="{EBB72690-7293-4B9A-B81C-EBB1608151E4}" uniqueName="37" name="Opgegeven jong volwassene" totalsRowFunction="sum" queryTableFieldId="83" totalsRowDxfId="469"/>
    <tableColumn id="39" xr3:uid="{0C66655B-B78F-4DF0-BB19-1A806276B528}" uniqueName="39" name="Opgegeven junioren" totalsRowFunction="sum" queryTableFieldId="84" totalsRowDxfId="470"/>
    <tableColumn id="41" xr3:uid="{D31EB490-0AA2-42BC-8FB7-5990C483CB48}" uniqueName="41" name="Opgegeven aspiranten" totalsRowFunction="sum" queryTableFieldId="85" totalsRowDxfId="471"/>
    <tableColumn id="33" xr3:uid="{55AAE09E-E997-495C-959A-F5351ED1E7B7}" uniqueName="33" name="Marketentsters" totalsRowFunction="custom" queryTableFieldId="33" dataDxfId="421" totalsRowDxfId="472">
      <totalsRowFormula>COUNTIF(KDA[Marketentsters],"x")</totalsRowFormula>
    </tableColumn>
    <tableColumn id="34" xr3:uid="{E6741020-7ED5-49D6-B406-51CEE8B8DD68}" uniqueName="34" name="Luchtgeweer" totalsRowFunction="custom" queryTableFieldId="34" dataDxfId="420" totalsRowDxfId="473">
      <totalsRowFormula>COUNTIF(KDA[Luchtgeweer],"x")</totalsRowFormula>
    </tableColumn>
    <tableColumn id="42" xr3:uid="{5A549990-ED18-4F73-A6C8-4E658A409420}" uniqueName="42" name="Aantal luchtgeweerschutters" totalsRowFunction="sum" queryTableFieldId="86" dataDxfId="419"/>
    <tableColumn id="36" xr3:uid="{EAC31335-978D-41AD-B136-0983A961D6E2}" uniqueName="36" name="Luchtpistool" totalsRowFunction="custom" queryTableFieldId="36" dataDxfId="418" totalsRowDxfId="474">
      <totalsRowFormula>COUNTIF(KDA[Luchtpistool],"x")</totalsRowFormula>
    </tableColumn>
    <tableColumn id="43" xr3:uid="{D31A5E4D-5471-4911-B227-561D3D36C71B}" uniqueName="43" name="Aantal luchtpistoolschutters" totalsRowFunction="sum" queryTableFieldId="87" totalsRowDxfId="475"/>
    <tableColumn id="40" xr3:uid="{AAFBD778-4704-439C-8204-5F5A02A8B3A8}" uniqueName="40" name="Handboog" totalsRowFunction="custom" queryTableFieldId="40" dataDxfId="417" totalsRowDxfId="476">
      <totalsRowFormula>COUNTIF(KDA[Handboog],"x")</totalsRowFormula>
    </tableColumn>
    <tableColumn id="44" xr3:uid="{32C15FFD-49E8-4D70-870E-65ED8286FDFA}" uniqueName="44" name="Aantal handboogschutters" totalsRowFunction="sum" queryTableFieldId="88" dataDxfId="416"/>
    <tableColumn id="38" xr3:uid="{537D7FC0-ADEB-4D95-B5AA-67860B0C8D31}" uniqueName="38" name="Kruisboog" totalsRowFunction="custom" queryTableFieldId="38" dataDxfId="415" totalsRowDxfId="477">
      <totalsRowFormula>COUNTIF(KDA[Kruisboog],"x")</totalsRowFormula>
    </tableColumn>
    <tableColumn id="71" xr3:uid="{E8DBE28A-D63A-4627-9B78-87475022C1F7}" uniqueName="71" name="Aantal kruisboogschutters" totalsRowFunction="sum" queryTableFieldId="89" totalsRowDxfId="478"/>
    <tableColumn id="72" xr3:uid="{F44B5FDC-1CAE-43A1-BB30-C5D81EC88DE8}" uniqueName="72" name="Luchtgeweer jeugd niet ouder dan 17 jaar." totalsRowFunction="custom" queryTableFieldId="90" dataDxfId="414" totalsRowDxfId="479">
      <totalsRowFormula>COUNTIF(KDA[Luchtgeweer jeugd niet ouder dan 17 jaar.],"x")</totalsRowFormula>
    </tableColumn>
    <tableColumn id="73" xr3:uid="{B4EBB654-5962-4156-BEAE-3952F17CC8B9}" uniqueName="73" name="Aantal korpsen" totalsRowFunction="sum" queryTableFieldId="91" dataDxfId="413" totalsRowDxfId="480"/>
    <tableColumn id="74" xr3:uid="{CAA768B5-90B5-4D9E-81AB-2321BC33E35A}" uniqueName="74" name="Opgegeven jeugdkorpsen LG" totalsRowFunction="sum" queryTableFieldId="92" dataDxfId="412" totalsRowDxfId="481"/>
    <tableColumn id="45" xr3:uid="{2F277C4A-7C12-42C0-BA72-175A58161C7B}" uniqueName="45" name="Totaal aantal deelnemers" totalsRowFunction="sum" queryTableFieldId="45" dataDxfId="411" totalsRowDxfId="482"/>
    <tableColumn id="46" xr3:uid="{06097E5F-1324-42A7-90B9-AB1E8A3AE557}" uniqueName="46" name="Waarvan aantal jeugd (t/m 15 jaar)" totalsRowFunction="sum" queryTableFieldId="46" dataDxfId="410" totalsRowDxfId="483"/>
    <tableColumn id="47" xr3:uid="{6AF72223-27EE-4CFA-9C64-F4B94F3FFE6D}" uniqueName="47" name="Kanon etc." totalsRowFunction="custom" queryTableFieldId="47" totalsRowDxfId="484">
      <totalsRowFormula>COUNTIF(KDA[Kanon etc.],"x")</totalsRowFormula>
    </tableColumn>
    <tableColumn id="48" xr3:uid="{FFED3A78-6BF7-45D9-8E3A-3517FCD679B2}" uniqueName="48" name="Paarden en/of koetsen" totalsRowFunction="custom" queryTableFieldId="48" totalsRowDxfId="485">
      <totalsRowFormula>COUNTIF(KDA[Paarden en/of koetsen],"x")</totalsRowFormula>
    </tableColumn>
    <tableColumn id="49" xr3:uid="{FFCB43B4-8315-475A-BBDA-92F96CBE0CD8}" uniqueName="49" name="Toelichting/opmerkingen" queryTableFieldId="49" dataDxfId="409" totalsRowDxfId="486"/>
    <tableColumn id="50" xr3:uid="{AC191752-224D-4115-A7BE-53E55432DC01}" uniqueName="50" name="Inzending-ID" queryTableFieldId="50" dataDxfId="408" totalsRowDxfId="487"/>
    <tableColumn id="51" xr3:uid="{61C71225-CE38-47AC-831C-29EAF9AE3EEF}" uniqueName="51" name="Inzenddatum" queryTableFieldId="51" dataDxfId="407" totalsRowDxfId="488"/>
    <tableColumn id="75" xr3:uid="{DF5485A7-BC31-4665-A9CD-69FEC0D3A0B6}" uniqueName="75" name="Date Updated" queryTableFieldId="93" dataDxfId="406" totalsRowDxfId="489"/>
    <tableColumn id="52" xr3:uid="{E5C749FC-4350-4DB1-AC14-61DCC8E3341A}" uniqueName="52" name="Naam van het hoofdkorps" queryTableFieldId="52" totalsRowDxfId="490"/>
    <tableColumn id="53" xr3:uid="{2210D00F-2519-4A0D-98B7-308F2AB1CA8D}" uniqueName="53" name="Zal op treden als (hoofdkorps)" queryTableFieldId="53" totalsRowDxfId="491"/>
    <tableColumn id="54" xr3:uid="{1F48BFE0-9CF5-49D7-B56B-84669B0D9436}" uniqueName="54" name="Vorm van twee muziekwerken (hoofdkorps)" queryTableFieldId="54" totalsRowDxfId="492"/>
    <tableColumn id="55" xr3:uid="{8F835307-A4DB-4825-B075-B613CBD852FA}" uniqueName="55" name="Zal uitkomen in de: (hoofdkorps)" queryTableFieldId="55" totalsRowDxfId="493"/>
    <tableColumn id="56" xr3:uid="{CA6ECD62-1A79-4686-9FBA-442FFFA474CC}" uniqueName="56" name="Muziekwerk1 (hoofdkorps)" queryTableFieldId="56" totalsRowDxfId="494"/>
    <tableColumn id="57" xr3:uid="{2980ED93-7393-4FD4-B05B-3124BFDD07A6}" uniqueName="57" name="Muziekwerk2 (hoofdkorps)" queryTableFieldId="57" totalsRowDxfId="495"/>
    <tableColumn id="58" xr3:uid="{1067520B-6F08-4692-8C03-EFACEEE9E679}" uniqueName="58" name="Korps bestaat uit ... deelnemers (hoofdkorps)" queryTableFieldId="58" dataDxfId="405" totalsRowDxfId="496"/>
    <tableColumn id="59" xr3:uid="{844D4ACC-4EB1-49D5-A2BF-A492647995F0}" uniqueName="59" name="Naam van het 2e korps" queryTableFieldId="59" totalsRowDxfId="497"/>
    <tableColumn id="60" xr3:uid="{B4C4C3CB-7EC3-4F60-A3B4-688D7786AA3C}" uniqueName="60" name="Zal op treden als (2e korps)" queryTableFieldId="60" totalsRowDxfId="498"/>
    <tableColumn id="61" xr3:uid="{AC1F0C8C-2274-4694-95F2-56D38F5823DF}" uniqueName="61" name="Vorm van twee muziekwerken (2e korps)" queryTableFieldId="61" totalsRowDxfId="499"/>
    <tableColumn id="62" xr3:uid="{B3251CE6-E945-4363-B0B0-8CFB87E14B04}" uniqueName="62" name="Zal uitkomen in de: (2e korps)" queryTableFieldId="62" totalsRowDxfId="500"/>
    <tableColumn id="63" xr3:uid="{82F79EC1-BABD-4651-95B5-EC56E3D7F27D}" uniqueName="63" name="Muziekwerk1 (2e korps)" queryTableFieldId="63" totalsRowDxfId="501"/>
    <tableColumn id="64" xr3:uid="{3115842D-1211-4573-A071-481B1AD5D1B5}" uniqueName="64" name="Muziekwerk2 (2e korps)" queryTableFieldId="64" dataDxfId="404" totalsRowDxfId="502"/>
    <tableColumn id="65" xr3:uid="{31512E68-61BE-4B4E-9739-D7EDFE57C6D9}" uniqueName="65" name="Korps bestaat uit ... deelnemers (2e korps)" queryTableFieldId="65" totalsRowDxfId="503"/>
    <tableColumn id="69" xr3:uid="{F621A4FD-C2AC-43F2-B8C7-A1C49692F415}" uniqueName="69" name="Mechanische muziek" queryTableFieldId="69" dataDxfId="403" totalsRowDxfId="504"/>
    <tableColumn id="66" xr3:uid="{312CDF19-2DCB-490A-8052-DD9F42AFB7DD}" uniqueName="66" name="Onderdelen" queryTableFieldId="66" dataDxfId="402" totalsRowDxfId="505"/>
    <tableColumn id="67" xr3:uid="{20A6A111-B6B9-4A3C-949D-2D5F3F2463CC}" uniqueName="67" name="Secties" queryTableFieldId="67" dataDxfId="401" totalsRowDxfId="506"/>
    <tableColumn id="68" xr3:uid="{AAE06610-1276-4DD6-9CAD-863DA3C40779}" uniqueName="68" name="Leeftijdscategorie" queryTableFieldId="68" dataDxfId="400" totalsRowDxfId="507"/>
    <tableColumn id="70" xr3:uid="{34BF71AC-4951-4715-BE87-90E791389154}" uniqueName="70" name="Aantal opgegeven majorettes" totalsRowFunction="sum" queryTableFieldId="70" totalsRowDxfId="508"/>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B5DD99D-2F07-4FE5-B31E-FFC68007A593}" name="KDRvNB" displayName="KDRvNB" ref="A6:BW13" tableType="queryTable" totalsRowCount="1" headerRowDxfId="843" dataDxfId="842" totalsRowDxfId="841">
  <autoFilter ref="A6:BW12" xr:uid="{7B5DD99D-2F07-4FE5-B31E-FFC68007A593}"/>
  <tableColumns count="75">
    <tableColumn id="1" xr3:uid="{B42082E0-74DB-4949-8E35-E9A859804A26}" uniqueName="1" name="Kringdag" totalsRowLabel="Totaal" queryTableFieldId="1" dataDxfId="840"/>
    <tableColumn id="2" xr3:uid="{47866B58-4A45-45DB-8349-C2FBE6042C02}" uniqueName="2" name="Ver.nr" queryTableFieldId="2" dataDxfId="839"/>
    <tableColumn id="3" xr3:uid="{D5B235C5-C286-495E-BCBA-47745390A66E}" uniqueName="3" name="Naam vereniging" totalsRowFunction="count" queryTableFieldId="3" dataDxfId="838"/>
    <tableColumn id="4" xr3:uid="{FC31E2DE-14C2-4E55-85F8-E0109E214D05}" uniqueName="4" name="Delegatie" totalsRowFunction="custom" queryTableFieldId="4" dataDxfId="327" totalsRowDxfId="328">
      <totalsRowFormula>COUNTIF(KDRvNB[Delegatie],"x")</totalsRowFormula>
    </tableColumn>
    <tableColumn id="5" xr3:uid="{743BD746-74B9-4A86-A1CA-CBE9896E6A85}" uniqueName="5" name="Muziekkorps bij mars en defilé" totalsRowFunction="custom" queryTableFieldId="5" dataDxfId="326" totalsRowDxfId="329">
      <totalsRowFormula>COUNTIF(KDRvNB[Muziekkorps bij mars en defilé],"x")</totalsRowFormula>
    </tableColumn>
    <tableColumn id="6" xr3:uid="{D1D3EC3D-8B9F-47A1-9A70-923F51EB8A10}" uniqueName="6" name="Deeln. jeugdkoningschieten" totalsRowFunction="custom" queryTableFieldId="6" dataDxfId="325" totalsRowDxfId="330">
      <totalsRowFormula>COUNTIF(KDRvNB[Deeln. jeugdkoningschieten],"x")</totalsRowFormula>
    </tableColumn>
    <tableColumn id="7" xr3:uid="{39C00582-4386-4EEA-B883-3387D078164A}" uniqueName="7" name="Maj. Senioren jureren bij mars" totalsRowFunction="custom" queryTableFieldId="7" dataDxfId="324" totalsRowDxfId="331">
      <totalsRowFormula>COUNTIF(KDRvNB[Maj. Senioren jureren bij mars],"x")</totalsRowFormula>
    </tableColumn>
    <tableColumn id="8" xr3:uid="{4E9FA65C-BE60-48DA-B279-01D2C843F0E0}" uniqueName="8" name="Maj. Jeugd jureren bij mars" totalsRowFunction="custom" queryTableFieldId="8" dataDxfId="323" totalsRowDxfId="332">
      <totalsRowFormula>COUNTIF(KDRvNB[Maj. Jeugd jureren bij mars],"x")</totalsRowFormula>
    </tableColumn>
    <tableColumn id="9" xr3:uid="{EFA0D6B1-D99C-40A9-86CF-608DA41F1972}" uniqueName="9" name="Korps senioren" totalsRowFunction="count" queryTableFieldId="9" dataDxfId="322" totalsRowDxfId="333"/>
    <tableColumn id="10" xr3:uid="{632564B9-80BF-4EE0-AD7D-B7AD5B403386}" uniqueName="10" name="Junioren korps 1" totalsRowFunction="count" queryTableFieldId="106" totalsRowDxfId="334"/>
    <tableColumn id="11" xr3:uid="{2BBE822F-4082-4C0F-89C6-E3899B434027}" uniqueName="11" name="Junioren korps 2" totalsRowFunction="count" queryTableFieldId="107" totalsRowDxfId="335"/>
    <tableColumn id="26" xr3:uid="{D49E85C0-A527-4F96-8273-342DE4E6468D}" uniqueName="26" name="Aspiranten korps 1" totalsRowFunction="count" queryTableFieldId="108" totalsRowDxfId="336"/>
    <tableColumn id="30" xr3:uid="{D5CC78F7-E3D4-4BA1-8F91-7CAFE6279E9C}" uniqueName="30" name="Aspiranten korps 2" totalsRowFunction="count" queryTableFieldId="109" totalsRowDxfId="337"/>
    <tableColumn id="12" xr3:uid="{70A20D86-F728-446F-9730-5B328A909B16}" uniqueName="12" name="Acrobatisch senioren" totalsRowFunction="count" queryTableFieldId="12" dataDxfId="321" totalsRowDxfId="338"/>
    <tableColumn id="13" xr3:uid="{9E02CCEF-987E-4D1E-9F70-0FFFD16E0DCB}" uniqueName="13" name="Acrobatisch junioren" totalsRowFunction="count" queryTableFieldId="13" dataDxfId="320" totalsRowDxfId="339"/>
    <tableColumn id="14" xr3:uid="{3AFD9C15-E86E-4AD5-AFA3-9A2B7390A6E8}" uniqueName="14" name="Acrobatisch aspiranten" totalsRowFunction="count" queryTableFieldId="14" dataDxfId="319" totalsRowDxfId="340"/>
    <tableColumn id="15" xr3:uid="{4595B28A-98C1-4523-85BD-3DDE65724380}" uniqueName="15" name="Show senioren" queryTableFieldId="15" dataDxfId="318" totalsRowDxfId="341"/>
    <tableColumn id="16" xr3:uid="{36C89C09-7EDA-4C43-BFA9-CC5F23DF32C2}" uniqueName="16" name="Show junioren" queryTableFieldId="16" dataDxfId="317" totalsRowDxfId="342"/>
    <tableColumn id="17" xr3:uid="{668F2608-E64B-4D23-A53B-B397B1D7F441}" uniqueName="17" name="Show aspiranten" queryTableFieldId="17" dataDxfId="316" totalsRowDxfId="343"/>
    <tableColumn id="18" xr3:uid="{D48B7191-F089-4D06-99A0-3C94801AA07D}" uniqueName="18" name="Senioren indiv." totalsRowFunction="sum" queryTableFieldId="18" dataDxfId="315" totalsRowDxfId="344"/>
    <tableColumn id="19" xr3:uid="{0EE4F30B-5A5D-4059-8E0A-9547572CE7CD}" uniqueName="19" name="Junioren indiv." totalsRowFunction="sum" queryTableFieldId="19" dataDxfId="314" totalsRowDxfId="345"/>
    <tableColumn id="20" xr3:uid="{FDF7EED4-C61B-4E58-9C3D-5F64668F3F1D}" uniqueName="20" name="Aspiranten indiv." totalsRowFunction="sum" queryTableFieldId="20" dataDxfId="313" totalsRowDxfId="346"/>
    <tableColumn id="21" xr3:uid="{C1F53052-FEDA-4814-A308-72F09F640DEB}" uniqueName="21" name="Sen. ind opgegeven namen" totalsRowFunction="sum" queryTableFieldId="21" dataDxfId="312" totalsRowDxfId="347"/>
    <tableColumn id="22" xr3:uid="{1C6D3A34-19A1-467C-BCCD-7E68ED3883A1}" uniqueName="22" name="Jun. ind opgegeven namen" totalsRowFunction="sum" queryTableFieldId="22" dataDxfId="311" totalsRowDxfId="348"/>
    <tableColumn id="23" xr3:uid="{67353617-011D-4F5D-9E7D-02927430BFEF}" uniqueName="23" name="Asp. ind opgegeven namen" totalsRowFunction="sum" queryTableFieldId="23" dataDxfId="310" totalsRowDxfId="349"/>
    <tableColumn id="24" xr3:uid="{DE9B8CB3-FDA8-419B-96F4-B781AB5D0FA0}" uniqueName="24" name="Hoofdkorps" totalsRowFunction="custom" queryTableFieldId="24" dataDxfId="309" totalsRowDxfId="350">
      <totalsRowFormula>COUNTIF(KDRvNB[Hoofdkorps],"x")</totalsRowFormula>
    </tableColumn>
    <tableColumn id="25" xr3:uid="{4F05E2A0-4138-4D1F-AE2C-2A654429F3D6}" uniqueName="25" name="2e korps" totalsRowFunction="custom" queryTableFieldId="25" dataDxfId="308" totalsRowDxfId="351">
      <totalsRowFormula>COUNTIF(KDRvNB[2e korps],"x")</totalsRowFormula>
    </tableColumn>
    <tableColumn id="31" xr3:uid="{73BAC8BE-23F3-4460-B518-ADAFDEB40510}" uniqueName="31" name="Groepen, teams, ensembles en duo's" totalsRowFunction="sum" queryTableFieldId="74" totalsRowDxfId="352"/>
    <tableColumn id="27" xr3:uid="{82F0E3A4-A915-4065-9F2F-7E6CB47AC3D0}" uniqueName="27" name="Senioren" totalsRowFunction="sum" queryTableFieldId="27" dataDxfId="307" totalsRowDxfId="353"/>
    <tableColumn id="32" xr3:uid="{CF885C7D-918D-4FFB-8613-DC71A36CDBE4}" uniqueName="32" name="Jong volwassene" totalsRowFunction="sum" queryTableFieldId="75" totalsRowDxfId="354"/>
    <tableColumn id="28" xr3:uid="{E85FE71A-C8E3-445C-95F4-06AF9F082A44}" uniqueName="28" name="Junioren" totalsRowFunction="sum" queryTableFieldId="28" dataDxfId="306" totalsRowDxfId="355"/>
    <tableColumn id="29" xr3:uid="{011E5AFC-E767-45D2-BF94-FB0AA9C85AEF}" uniqueName="29" name="Aspiranten" totalsRowFunction="sum" queryTableFieldId="29" dataDxfId="305" totalsRowDxfId="356"/>
    <tableColumn id="35" xr3:uid="{EBB3E55A-D245-437B-9F2B-25F854C76501}" uniqueName="35" name="Opgegeven senioren" totalsRowFunction="sum" queryTableFieldId="76" totalsRowDxfId="357"/>
    <tableColumn id="37" xr3:uid="{E48CD7BD-E051-4F1E-BBE0-802DBA7F8785}" uniqueName="37" name="Opgegeven jong volwassene" totalsRowFunction="sum" queryTableFieldId="77" totalsRowDxfId="358"/>
    <tableColumn id="39" xr3:uid="{1062A42E-CB1E-4CFB-8272-1F3792CD71CA}" uniqueName="39" name="Opgegeven junioren" totalsRowFunction="sum" queryTableFieldId="78" totalsRowDxfId="359"/>
    <tableColumn id="41" xr3:uid="{A7B59E37-143B-4411-88DF-F242A9A06746}" uniqueName="41" name="Opgegeven aspiranten" totalsRowFunction="sum" queryTableFieldId="79" totalsRowDxfId="360"/>
    <tableColumn id="33" xr3:uid="{70B20891-379D-42C9-8759-929B7C801C07}" uniqueName="33" name="Marketentsters" totalsRowFunction="custom" queryTableFieldId="33" dataDxfId="304" totalsRowDxfId="361">
      <totalsRowFormula>COUNTIF(KDRvNB[Marketentsters],"x")</totalsRowFormula>
    </tableColumn>
    <tableColumn id="34" xr3:uid="{FBDAAC23-CCC3-4EC0-BB16-0B31264633F4}" uniqueName="34" name="Luchtgeweer" totalsRowFunction="custom" queryTableFieldId="34" dataDxfId="303" totalsRowDxfId="362">
      <totalsRowFormula>COUNTIF(KDRvNB[Luchtgeweer],"x")</totalsRowFormula>
    </tableColumn>
    <tableColumn id="42" xr3:uid="{24F13D70-9263-4DDF-A235-FD6B8B26266A}" uniqueName="42" name="Aantal luchtgeweerschutters" totalsRowFunction="sum" queryTableFieldId="80" totalsRowDxfId="363"/>
    <tableColumn id="36" xr3:uid="{6CBF3609-5010-4E2C-AC4F-07BFAC337B4F}" uniqueName="36" name="Luchtpistool" totalsRowFunction="custom" queryTableFieldId="36" dataDxfId="302" totalsRowDxfId="364">
      <totalsRowFormula>COUNTIF(KDRvNB[Luchtpistool],"x")</totalsRowFormula>
    </tableColumn>
    <tableColumn id="43" xr3:uid="{C393A973-FD8D-4A10-982E-E97F1A805E28}" uniqueName="43" name="Aantal luchtpistoolschutters" totalsRowFunction="sum" queryTableFieldId="81" totalsRowDxfId="365"/>
    <tableColumn id="40" xr3:uid="{670B83B2-B798-4686-AC31-18B4012ACD32}" uniqueName="40" name="Handboog" totalsRowFunction="custom" queryTableFieldId="40" dataDxfId="301" totalsRowDxfId="366">
      <totalsRowFormula>COUNTIF(KDRvNB[Handboog],"x")</totalsRowFormula>
    </tableColumn>
    <tableColumn id="44" xr3:uid="{E6F794C2-3817-417C-8810-8334633C414B}" uniqueName="44" name="Aantal handboogschutters" totalsRowFunction="sum" queryTableFieldId="82" totalsRowDxfId="367"/>
    <tableColumn id="38" xr3:uid="{9C03B735-F304-466D-A1C4-1C0937DD55E6}" uniqueName="38" name="Kruisboog" totalsRowFunction="custom" queryTableFieldId="38" dataDxfId="300" totalsRowDxfId="368">
      <totalsRowFormula>COUNTIF(KDRvNB[Kruisboog],"x")</totalsRowFormula>
    </tableColumn>
    <tableColumn id="71" xr3:uid="{03EB338E-F00D-40E8-907E-B97BDC6559CA}" uniqueName="71" name="Aantal kruisboogschutters" totalsRowFunction="sum" queryTableFieldId="83" totalsRowDxfId="369"/>
    <tableColumn id="72" xr3:uid="{285F447E-7326-45B3-8150-74F29EB49BB2}" uniqueName="72" name="Luchtgeweer jeugd niet ouder dan 17 jaar." totalsRowFunction="custom" queryTableFieldId="84" dataDxfId="837" totalsRowDxfId="370">
      <totalsRowFormula>COUNTIF(KDRvNB[Luchtgeweer jeugd niet ouder dan 17 jaar.],"x")</totalsRowFormula>
    </tableColumn>
    <tableColumn id="73" xr3:uid="{3A67694F-3F22-4A63-943B-CAD44BC1951B}" uniqueName="73" name="Aantal korpsen" totalsRowFunction="sum" queryTableFieldId="85" totalsRowDxfId="371"/>
    <tableColumn id="74" xr3:uid="{C7B1D8C3-CD69-46BB-B8EF-3F0A7B7E812A}" uniqueName="74" name="Opgegeven jeugdkorpsen LG" totalsRowFunction="sum" queryTableFieldId="86" totalsRowDxfId="372"/>
    <tableColumn id="45" xr3:uid="{2E0BDF72-C038-43B2-B6CF-DFB9D6093FA3}" uniqueName="45" name="Totaal aantal deelnemers" totalsRowFunction="sum" queryTableFieldId="45" dataDxfId="299" totalsRowDxfId="373"/>
    <tableColumn id="46" xr3:uid="{5E1BF68D-462C-409C-978D-1318A9143282}" uniqueName="46" name="Waarvan aantal jeugd (t/m 15 jaar)" totalsRowFunction="sum" queryTableFieldId="46" dataDxfId="298" totalsRowDxfId="374"/>
    <tableColumn id="47" xr3:uid="{8A13F570-A52A-4AD2-BC9A-520454870C49}" uniqueName="47" name="Kanon etc." totalsRowFunction="custom" queryTableFieldId="47" dataDxfId="836" totalsRowDxfId="375">
      <totalsRowFormula>COUNTIF(KDRvNB[Kanon etc.],"x")</totalsRowFormula>
    </tableColumn>
    <tableColumn id="48" xr3:uid="{0444CE5A-A537-4AA1-A567-0413645D4AE8}" uniqueName="48" name="Paarden en/of koetsen" totalsRowFunction="custom" queryTableFieldId="48" dataDxfId="835" totalsRowDxfId="376">
      <totalsRowFormula>COUNTIF(KDRvNB[Paarden en/of koetsen],"x")</totalsRowFormula>
    </tableColumn>
    <tableColumn id="49" xr3:uid="{E6CD3893-5116-41A8-997A-AC4CE71AB4D7}" uniqueName="49" name="Toelichting/opmerkingen" queryTableFieldId="49" dataDxfId="297" totalsRowDxfId="377"/>
    <tableColumn id="50" xr3:uid="{D30A42E9-05F3-4D27-AADE-91D7208D65F3}" uniqueName="50" name="Inzending-ID" queryTableFieldId="50" dataDxfId="834" totalsRowDxfId="378"/>
    <tableColumn id="51" xr3:uid="{994F13E0-9F42-4EC0-9C25-32468DC3D4EF}" uniqueName="51" name="Inzenddatum" queryTableFieldId="51" dataDxfId="296" totalsRowDxfId="379"/>
    <tableColumn id="75" xr3:uid="{AACADDA0-B957-4C95-BC88-FFD64633A5C3}" uniqueName="75" name="Date Updated" queryTableFieldId="87" dataDxfId="295" totalsRowDxfId="380"/>
    <tableColumn id="52" xr3:uid="{536E9C37-AE5D-4771-B866-84F7EFC28977}" uniqueName="52" name="Naam van het hoofdkorps" queryTableFieldId="52" dataDxfId="833" totalsRowDxfId="381"/>
    <tableColumn id="53" xr3:uid="{22E584B9-D500-41BB-8BF2-C5EC64BA4A42}" uniqueName="53" name="Zal op treden als (hoofdkorps)" queryTableFieldId="53" dataDxfId="832" totalsRowDxfId="382"/>
    <tableColumn id="54" xr3:uid="{61D13E15-1C39-4998-AA76-3572993DA605}" uniqueName="54" name="Vorm van twee muziekwerken (hoofdkorps)" queryTableFieldId="54" dataDxfId="831" totalsRowDxfId="383"/>
    <tableColumn id="55" xr3:uid="{94ED26B9-C100-4987-8FE7-275434ADD182}" uniqueName="55" name="Zal uitkomen in de: (hoofdkorps)" queryTableFieldId="55" dataDxfId="830" totalsRowDxfId="384"/>
    <tableColumn id="56" xr3:uid="{04D6D9F4-11A1-4E44-A1CE-1D67D85CBCD9}" uniqueName="56" name="Muziekwerk1 (hoofdkorps)" queryTableFieldId="56" dataDxfId="829" totalsRowDxfId="385"/>
    <tableColumn id="57" xr3:uid="{1FCC70C9-1F01-4EE9-9783-A3F86B50143B}" uniqueName="57" name="Muziekwerk2 (hoofdkorps)" queryTableFieldId="57" dataDxfId="828" totalsRowDxfId="386"/>
    <tableColumn id="58" xr3:uid="{4059FC07-4172-4C8D-8C7E-169B90488A40}" uniqueName="58" name="Korps bestaat uit ... deelnemers (hoofdkorps)" queryTableFieldId="58" dataDxfId="827" totalsRowDxfId="387"/>
    <tableColumn id="59" xr3:uid="{642F325A-6533-45FF-8881-86FE0F8A3537}" uniqueName="59" name="Naam van het 2e korps" queryTableFieldId="59" dataDxfId="826" totalsRowDxfId="388"/>
    <tableColumn id="60" xr3:uid="{FD281AB3-5A3D-4BA1-8114-EE4A4C9A4D3E}" uniqueName="60" name="Zal op treden als (2e korps)" queryTableFieldId="60" dataDxfId="825" totalsRowDxfId="389"/>
    <tableColumn id="61" xr3:uid="{01EF27E7-EFAF-43A3-89C4-695FA0FEFEDA}" uniqueName="61" name="Vorm van twee muziekwerken (2e korps)" queryTableFieldId="61" dataDxfId="824" totalsRowDxfId="390"/>
    <tableColumn id="62" xr3:uid="{C9A48CA6-16D8-4CA7-82A7-53D3636C8375}" uniqueName="62" name="Zal uitkomen in de: (2e korps)" queryTableFieldId="62" dataDxfId="823" totalsRowDxfId="391"/>
    <tableColumn id="63" xr3:uid="{EF024D81-620C-4E45-87DB-62BEA0571007}" uniqueName="63" name="Muziekwerk1 (2e korps)" queryTableFieldId="63" dataDxfId="822" totalsRowDxfId="392"/>
    <tableColumn id="64" xr3:uid="{5DDAF5F0-1DBE-4871-8B19-C22FFA31B9BD}" uniqueName="64" name="Muziekwerk2 (2e korps)" queryTableFieldId="64" dataDxfId="294" totalsRowDxfId="393"/>
    <tableColumn id="65" xr3:uid="{76F1C6F1-D484-41E2-AF8C-221FB3C3442F}" uniqueName="65" name="Korps bestaat uit ... deelnemers (2e korps)" queryTableFieldId="65" dataDxfId="293" totalsRowDxfId="394"/>
    <tableColumn id="69" xr3:uid="{8723417E-0056-48DB-BD7C-CFD726D1E90E}" uniqueName="69" name="Mechanische muziek" queryTableFieldId="69" dataDxfId="292" totalsRowDxfId="395"/>
    <tableColumn id="66" xr3:uid="{A258ECB5-EA42-47A3-9965-66B4540827F3}" uniqueName="66" name="Onderdelen" queryTableFieldId="66" dataDxfId="291" totalsRowDxfId="396"/>
    <tableColumn id="67" xr3:uid="{276716A1-6C96-4B1C-ABEA-171ACB050A77}" uniqueName="67" name="Secties" queryTableFieldId="67" dataDxfId="290" totalsRowDxfId="397"/>
    <tableColumn id="68" xr3:uid="{07574B23-6B09-4583-80FD-023D2E8ACABE}" uniqueName="68" name="Leeftijdscategorie" queryTableFieldId="68" dataDxfId="289" totalsRowDxfId="398"/>
    <tableColumn id="70" xr3:uid="{7CBECFE5-28C8-4F6D-94C3-BF35CCED0979}" uniqueName="70" name="Aantal opgegeven majorettes" totalsRowFunction="sum" queryTableFieldId="70" dataDxfId="288" totalsRowDxfId="399"/>
  </tableColumns>
  <tableStyleInfo name="TableStyleMedium7"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F8B779F-4064-423E-8082-2381B0C548D1}" name="LJ" displayName="LJ" ref="A6:BW7" tableType="queryTable" totalsRowShown="0" headerRowDxfId="821">
  <autoFilter ref="A6:BW7" xr:uid="{4F8B779F-4064-423E-8082-2381B0C548D1}"/>
  <tableColumns count="75">
    <tableColumn id="1" xr3:uid="{5FE8EE3F-AD35-48A6-85F6-BDFB105B0725}" uniqueName="1" name="Kringdag" queryTableFieldId="1" dataDxfId="287"/>
    <tableColumn id="2" xr3:uid="{9BCFCC0D-6A6A-4A94-8347-6671F120F3AC}" uniqueName="2" name="Ver.nr" queryTableFieldId="2" dataDxfId="286"/>
    <tableColumn id="3" xr3:uid="{19B2C186-27FD-419C-B197-8025BF5CFE71}" uniqueName="3" name="Naam vereniging" queryTableFieldId="3" dataDxfId="285"/>
    <tableColumn id="4" xr3:uid="{D3334820-466D-4BDD-B965-0B7E193F3233}" uniqueName="4" name="Delegatie" queryTableFieldId="4" dataDxfId="284"/>
    <tableColumn id="5" xr3:uid="{46317316-8382-49B2-BA5D-6FEDF3FD7884}" uniqueName="5" name="Muziekkorps bij mars en defilé" queryTableFieldId="5" dataDxfId="283"/>
    <tableColumn id="6" xr3:uid="{13D83B93-BCD1-4CD4-9C3F-433F446A5723}" uniqueName="6" name="Deeln. jeugdkoningschieten" queryTableFieldId="6" dataDxfId="282"/>
    <tableColumn id="7" xr3:uid="{89928C9B-C271-4E70-965C-A19CB2581977}" uniqueName="7" name="Maj. Senioren jureren bij mars" queryTableFieldId="7" dataDxfId="281"/>
    <tableColumn id="8" xr3:uid="{02A99D9F-6464-4218-A98E-811C81615D5C}" uniqueName="8" name="Maj. Jeugd jureren bij mars" queryTableFieldId="8" dataDxfId="280"/>
    <tableColumn id="9" xr3:uid="{CAD36238-5F96-47BD-B57F-DD6532718290}" uniqueName="9" name="Korps senioren" queryTableFieldId="9" dataDxfId="279"/>
    <tableColumn id="10" xr3:uid="{E85CFA93-54A2-4E31-85FE-7FEFD8641F8E}" uniqueName="10" name="Junioren korps 1" queryTableFieldId="104"/>
    <tableColumn id="11" xr3:uid="{C6BACE44-D4CB-4215-A3C3-539AAB5FB41C}" uniqueName="11" name="Junioren korps 2" queryTableFieldId="105"/>
    <tableColumn id="26" xr3:uid="{629685E4-7852-4956-97AC-86BF9C7AC0F9}" uniqueName="26" name="Aspiranten korps 1" queryTableFieldId="106"/>
    <tableColumn id="30" xr3:uid="{F8BDC429-9CDD-4125-AD5F-52CD2851CBA4}" uniqueName="30" name="Aspiranten korps 2" queryTableFieldId="107"/>
    <tableColumn id="12" xr3:uid="{0671084D-0D3B-4D86-86A9-2FCF796FF887}" uniqueName="12" name="Acrobatisch senioren" queryTableFieldId="12" dataDxfId="278"/>
    <tableColumn id="13" xr3:uid="{652975E7-D8A2-418E-9E7D-70CF9AC7B67B}" uniqueName="13" name="Acrobatisch junioren" queryTableFieldId="13" dataDxfId="277"/>
    <tableColumn id="14" xr3:uid="{7D143A4D-59D1-43DC-9801-318329105B70}" uniqueName="14" name="Acrobatisch aspiranten" queryTableFieldId="14" dataDxfId="276"/>
    <tableColumn id="15" xr3:uid="{22E52461-0B78-4950-B7A2-9190EC07FB64}" uniqueName="15" name="Show senioren" queryTableFieldId="15" dataDxfId="275"/>
    <tableColumn id="16" xr3:uid="{164C10B7-0CCB-4FBA-9EDF-36DD8C3E8585}" uniqueName="16" name="Show junioren" queryTableFieldId="16" dataDxfId="274"/>
    <tableColumn id="17" xr3:uid="{7F98B6E0-7F7C-4A4D-BEF0-395CC5476215}" uniqueName="17" name="Show aspiranten" queryTableFieldId="17" dataDxfId="273"/>
    <tableColumn id="18" xr3:uid="{25275654-3B66-4EC8-A412-DF64E362810F}" uniqueName="18" name="Senioren indiv." queryTableFieldId="18" dataDxfId="272"/>
    <tableColumn id="19" xr3:uid="{E061961B-1A71-4111-B704-2167D4FDCA04}" uniqueName="19" name="Junioren indiv." queryTableFieldId="19" dataDxfId="271"/>
    <tableColumn id="20" xr3:uid="{7986702B-614E-495B-88C8-CC1A210170CF}" uniqueName="20" name="Aspiranten indiv." queryTableFieldId="20" dataDxfId="270"/>
    <tableColumn id="21" xr3:uid="{A5461B4C-B2D1-498B-A848-42A3BC7A8BC4}" uniqueName="21" name="Sen. ind opgegeven namen" queryTableFieldId="21" dataDxfId="269"/>
    <tableColumn id="22" xr3:uid="{BEE788A5-74B3-4FB3-907A-7BF2432D6207}" uniqueName="22" name="Jun. ind opgegeven namen" queryTableFieldId="22" dataDxfId="268"/>
    <tableColumn id="23" xr3:uid="{8E05A72F-E53E-401A-8B0B-592CC8CBB173}" uniqueName="23" name="Asp. ind opgegeven namen" queryTableFieldId="23" dataDxfId="267"/>
    <tableColumn id="24" xr3:uid="{D7485158-293F-4E3D-98D2-CF55D58B12AF}" uniqueName="24" name="Hoofdkorps" queryTableFieldId="24" dataDxfId="266"/>
    <tableColumn id="25" xr3:uid="{AB010968-2E7B-460C-8993-AC1D70D3BD4E}" uniqueName="25" name="2e korps" queryTableFieldId="25" dataDxfId="265"/>
    <tableColumn id="31" xr3:uid="{34744077-C62E-48CE-9727-2B1CD76BEDBC}" uniqueName="31" name="Groepen, teams, ensembles en duo's" queryTableFieldId="72"/>
    <tableColumn id="27" xr3:uid="{599500F2-464C-4024-AAAB-8143C92D5AA7}" uniqueName="27" name="Senioren" queryTableFieldId="27" dataDxfId="264"/>
    <tableColumn id="32" xr3:uid="{AAC23FE4-6A55-4F3F-B5DA-621F4A965531}" uniqueName="32" name="Jong volwassene" queryTableFieldId="73"/>
    <tableColumn id="28" xr3:uid="{A995C14A-D6B8-4E52-B230-85D46C534476}" uniqueName="28" name="Junioren" queryTableFieldId="28" dataDxfId="263"/>
    <tableColumn id="29" xr3:uid="{210EE2AB-E41F-4188-A61F-76AB62A874A5}" uniqueName="29" name="Aspiranten" queryTableFieldId="29" dataDxfId="262"/>
    <tableColumn id="38" xr3:uid="{ED65980F-756D-4E2B-9049-AA3434C09965}" uniqueName="38" name="Opgegeven senioren" queryTableFieldId="74"/>
    <tableColumn id="39" xr3:uid="{85A913A2-DB2D-473D-B40F-376E74A1C01D}" uniqueName="39" name="Opgegeven jong volwassene" queryTableFieldId="75"/>
    <tableColumn id="66" xr3:uid="{6F5192E5-1B91-4B51-9EA0-7453F4B7B17A}" uniqueName="66" name="Opgegeven junioren" queryTableFieldId="76"/>
    <tableColumn id="67" xr3:uid="{95B815EB-3996-4F6E-AD75-4CDFD93F7051}" uniqueName="67" name="Opgegeven aspiranten" queryTableFieldId="77"/>
    <tableColumn id="33" xr3:uid="{21ED27EA-920A-476C-A987-C886705272C8}" uniqueName="33" name="Marketentsters" queryTableFieldId="33" dataDxfId="261"/>
    <tableColumn id="34" xr3:uid="{A3734509-3769-4BF8-B534-139916BF52A0}" uniqueName="34" name="Luchtgeweer" queryTableFieldId="34" dataDxfId="260"/>
    <tableColumn id="68" xr3:uid="{F3C084A4-77EF-4E7A-9A92-9EA8703884F5}" uniqueName="68" name="Aantal luchtgeweerschutters" queryTableFieldId="78"/>
    <tableColumn id="35" xr3:uid="{1ED86575-D359-4926-BEF3-9C7AE94C3A86}" uniqueName="35" name="Luchtpistool" queryTableFieldId="35" dataDxfId="259"/>
    <tableColumn id="69" xr3:uid="{2DEBD8E0-C520-46B4-9BA0-A78BFAF216BA}" uniqueName="69" name="Aantal luchtpistoolschutters" queryTableFieldId="79"/>
    <tableColumn id="37" xr3:uid="{067FF6A5-1097-446D-83C7-E12AC30F6D58}" uniqueName="37" name="Handboog" queryTableFieldId="37" dataDxfId="258"/>
    <tableColumn id="70" xr3:uid="{63E98E26-99A4-4F5F-A89F-13E5EB533A70}" uniqueName="70" name="Aantal handboogschutters" queryTableFieldId="80"/>
    <tableColumn id="36" xr3:uid="{02F8BD9B-9513-4067-B58F-BCD37B8D4FA4}" uniqueName="36" name="Kruisboog" queryTableFieldId="36" dataDxfId="257"/>
    <tableColumn id="71" xr3:uid="{EEFF6F95-61D3-4BBB-B11E-D55A71246670}" uniqueName="71" name="Aantal kruisboogschutters" queryTableFieldId="81"/>
    <tableColumn id="72" xr3:uid="{B34522E3-4006-454F-B02C-47071B21675C}" uniqueName="72" name="Luchtgeweer jeugd niet ouder dan 17 jaar." queryTableFieldId="82" dataDxfId="820"/>
    <tableColumn id="73" xr3:uid="{813B1FCC-A6C1-4D1E-9342-C3F8FDE217C5}" uniqueName="73" name="Aantal korpsen" queryTableFieldId="83"/>
    <tableColumn id="74" xr3:uid="{A5007B21-DE97-42AC-9201-C89E60AAADA0}" uniqueName="74" name="Opgegeven jeugdkorpsen LG" queryTableFieldId="84"/>
    <tableColumn id="40" xr3:uid="{D1DF0CC4-6AFA-4F26-94E7-B3FEE75658C3}" uniqueName="40" name="Totaal aantal deelnemers" queryTableFieldId="40" dataDxfId="256"/>
    <tableColumn id="41" xr3:uid="{DDE8DCDB-5F0F-41D4-9355-EDE72098650B}" uniqueName="41" name="Waarvan aantal jeugd (t/m 15 jaar)" queryTableFieldId="41" dataDxfId="255"/>
    <tableColumn id="42" xr3:uid="{4AD23B45-1194-4899-8A72-51863633B198}" uniqueName="42" name="Kanon etc." queryTableFieldId="42" dataDxfId="254"/>
    <tableColumn id="43" xr3:uid="{0D9B4516-9153-4C8A-A67A-D8C61F99DC5C}" uniqueName="43" name="Paarden en/of koetsen" queryTableFieldId="43" dataDxfId="253"/>
    <tableColumn id="44" xr3:uid="{70404585-6E1E-4735-9635-0D99B20FBC26}" uniqueName="44" name="Toelichting/opmerkingen" queryTableFieldId="44" dataDxfId="252"/>
    <tableColumn id="45" xr3:uid="{93E5C4CD-053E-41C7-AD4F-D627752F5406}" uniqueName="45" name="Inzending-ID" queryTableFieldId="45" dataDxfId="251"/>
    <tableColumn id="46" xr3:uid="{28BA3F0A-7B5B-4370-BB77-C1D614B0BA57}" uniqueName="46" name="Inzenddatum" queryTableFieldId="46" dataDxfId="250"/>
    <tableColumn id="75" xr3:uid="{28473866-4557-4C5B-984A-95416A587C6E}" uniqueName="75" name="Date Updated" queryTableFieldId="85" dataDxfId="249"/>
    <tableColumn id="47" xr3:uid="{8BAA550D-B5A2-4704-807E-D080519E7C8E}" uniqueName="47" name="Naam van het hoofdkorps" queryTableFieldId="47" dataDxfId="248"/>
    <tableColumn id="48" xr3:uid="{4C0B3A23-738E-48D6-B7A1-DB4B66FC7108}" uniqueName="48" name="Zal op treden als (hoofdkorps)" queryTableFieldId="48" dataDxfId="247"/>
    <tableColumn id="49" xr3:uid="{978EBC24-9211-4AD4-BA5E-892076319ACD}" uniqueName="49" name="Vorm van twee muziekwerken (hoofdkorps)" queryTableFieldId="49" dataDxfId="246"/>
    <tableColumn id="50" xr3:uid="{5876098D-128A-4F2B-9BDD-05D45807EBB2}" uniqueName="50" name="Zal uitkomen in de: (hoofdkorps)" queryTableFieldId="50" dataDxfId="245"/>
    <tableColumn id="51" xr3:uid="{05A18B09-3195-4A36-B169-BFC361010AF9}" uniqueName="51" name="Muziekwerk1 (hoofdkorps)" queryTableFieldId="51" dataDxfId="244"/>
    <tableColumn id="52" xr3:uid="{080589DF-D751-4E72-A1FF-D1499E799DFF}" uniqueName="52" name="Muziekwerk2 (hoofdkorps)" queryTableFieldId="52" dataDxfId="243"/>
    <tableColumn id="53" xr3:uid="{DBA6CB2B-424D-42B2-AEE2-173CFFC390B3}" uniqueName="53" name="Korps bestaat uit ... deelnemers (hoofdkorps)" queryTableFieldId="53" dataDxfId="242"/>
    <tableColumn id="54" xr3:uid="{0193C038-31CC-4C3D-B86C-79F592AFB69F}" uniqueName="54" name="Naam van het 2e korps" queryTableFieldId="54" dataDxfId="241"/>
    <tableColumn id="55" xr3:uid="{BF390BAF-759F-46A2-B089-A26594BD5AE3}" uniqueName="55" name="Zal op treden als (2e korps)" queryTableFieldId="55" dataDxfId="240"/>
    <tableColumn id="56" xr3:uid="{14E841BE-A956-401D-8BCB-786DD5C94AB2}" uniqueName="56" name="Vorm van twee muziekwerken (2e korps)" queryTableFieldId="56" dataDxfId="239"/>
    <tableColumn id="57" xr3:uid="{6B38B763-EDC5-43F3-B366-D91005BD8A10}" uniqueName="57" name="Zal uitkomen in de: (2e korps)" queryTableFieldId="57" dataDxfId="238"/>
    <tableColumn id="58" xr3:uid="{C7F25D80-94FE-4E9D-97DB-72DBE154F97B}" uniqueName="58" name="Muziekwerk1 (2e korps)" queryTableFieldId="58" dataDxfId="237"/>
    <tableColumn id="59" xr3:uid="{ED2D53AE-F005-432E-AE06-D5BCC146DE7B}" uniqueName="59" name="Muziekwerk2 (2e korps)" queryTableFieldId="59" dataDxfId="236"/>
    <tableColumn id="60" xr3:uid="{58169E12-99B5-492C-8129-4C808E23FA7B}" uniqueName="60" name="Korps bestaat uit ... deelnemers (2e korps)" queryTableFieldId="60" dataDxfId="235"/>
    <tableColumn id="64" xr3:uid="{4D6655B8-62D6-4EAB-A7FB-A89BE3494370}" uniqueName="64" name="Mechanische muziek" queryTableFieldId="64" dataDxfId="234"/>
    <tableColumn id="61" xr3:uid="{A2F2496B-A903-498D-AFCA-BABB37C97D6C}" uniqueName="61" name="Onderdelen" queryTableFieldId="61" dataDxfId="233"/>
    <tableColumn id="62" xr3:uid="{10DCF5A1-FD69-4824-9AC7-CD0F873384CD}" uniqueName="62" name="Secties" queryTableFieldId="62" dataDxfId="232"/>
    <tableColumn id="63" xr3:uid="{489834DB-73B0-4029-AA2F-15D1970AC822}" uniqueName="63" name="Leeftijdscategorie" queryTableFieldId="63" dataDxfId="231"/>
    <tableColumn id="65" xr3:uid="{BAC977F7-6EBE-47F3-A368-FEF310D3AC6C}" uniqueName="65" name="Aantal opgegeven majorettes" queryTableFieldId="65" dataDxfId="230"/>
  </tableColumns>
  <tableStyleInfo name="TableStyleMedium7"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3BE24FE-77E5-4EA1-8B0F-4712CD50A33E}" name="FSD" displayName="FSD" ref="A6:BW26" tableType="queryTable" totalsRowCount="1" headerRowDxfId="819" totalsRowDxfId="818">
  <autoFilter ref="A6:BW25" xr:uid="{73BE24FE-77E5-4EA1-8B0F-4712CD50A33E}"/>
  <tableColumns count="75">
    <tableColumn id="1" xr3:uid="{230D35B1-318E-4FC7-8CFE-CB72561A7C78}" uniqueName="1" name="Kringdag" totalsRowLabel="Totaal" queryTableFieldId="1" dataDxfId="157"/>
    <tableColumn id="2" xr3:uid="{98CF1A57-9A64-434E-8F7D-6C3D1E7CC1F3}" uniqueName="2" name="Ver.nr" queryTableFieldId="2" dataDxfId="156"/>
    <tableColumn id="3" xr3:uid="{A1938DE9-F00D-4BA8-8A5F-EE6F77AD45DA}" uniqueName="3" name="Naam vereniging" totalsRowFunction="count" queryTableFieldId="3" dataDxfId="155"/>
    <tableColumn id="4" xr3:uid="{8445C7DB-35BB-43B8-8DFD-7447E65AEC62}" uniqueName="4" name="Delegatie" totalsRowFunction="custom" queryTableFieldId="4" dataDxfId="154" totalsRowDxfId="158">
      <totalsRowFormula>COUNTIF(FSD[Delegatie],"x")</totalsRowFormula>
    </tableColumn>
    <tableColumn id="5" xr3:uid="{A7D8FD7D-5F90-4D5B-9819-8E1A5B2EAE3F}" uniqueName="5" name="Muziekkorps bij mars en defilé" totalsRowFunction="custom" queryTableFieldId="5" dataDxfId="153" totalsRowDxfId="159">
      <totalsRowFormula>COUNTIF(FSD[Muziekkorps bij mars en defilé],"x")</totalsRowFormula>
    </tableColumn>
    <tableColumn id="6" xr3:uid="{51EF7B06-BDD6-435B-A5D6-9D703B26EE37}" uniqueName="6" name="Deeln. jeugdkoningschieten" totalsRowFunction="custom" queryTableFieldId="6" dataDxfId="152" totalsRowDxfId="160">
      <totalsRowFormula>COUNTIF(FSD[Deeln. jeugdkoningschieten],"x")</totalsRowFormula>
    </tableColumn>
    <tableColumn id="7" xr3:uid="{FFA6CD71-9DBE-4EB0-AEE3-60F267D05DF9}" uniqueName="7" name="Maj. Senioren jureren bij mars" totalsRowFunction="custom" queryTableFieldId="7" dataDxfId="151" totalsRowDxfId="161">
      <totalsRowFormula>COUNTIF(FSD[Maj. Senioren jureren bij mars],"x")</totalsRowFormula>
    </tableColumn>
    <tableColumn id="8" xr3:uid="{322A5420-10BF-47E2-9B31-CA992EDA8F66}" uniqueName="8" name="Maj. Jeugd jureren bij mars" totalsRowFunction="custom" queryTableFieldId="8" dataDxfId="150" totalsRowDxfId="162">
      <totalsRowFormula>COUNTIF(FSD[Maj. Jeugd jureren bij mars],"x")</totalsRowFormula>
    </tableColumn>
    <tableColumn id="9" xr3:uid="{D68C2110-07D1-4FBE-AA9F-E4CC6B7C3081}" uniqueName="9" name="Korps senioren" totalsRowFunction="count" queryTableFieldId="9" dataDxfId="149" totalsRowDxfId="163"/>
    <tableColumn id="10" xr3:uid="{0E9FDA67-0BA2-440B-862C-AA13736A58A1}" uniqueName="10" name="Junioren korps 1" totalsRowFunction="count" queryTableFieldId="106" totalsRowDxfId="164"/>
    <tableColumn id="11" xr3:uid="{F1D8E8E6-F687-49A4-9578-08E116AFF37A}" uniqueName="11" name="Junioren korps 2" totalsRowFunction="count" queryTableFieldId="107" totalsRowDxfId="165"/>
    <tableColumn id="26" xr3:uid="{F2C10C82-BF45-4F2D-9F7A-DEBF4CCE992A}" uniqueName="26" name="Aspiranten korps 1" totalsRowFunction="count" queryTableFieldId="108" totalsRowDxfId="166"/>
    <tableColumn id="30" xr3:uid="{FCCB5B66-5964-450C-BBFA-4BA2596DC701}" uniqueName="30" name="Aspiranten korps 2" totalsRowFunction="count" queryTableFieldId="109" totalsRowDxfId="167"/>
    <tableColumn id="12" xr3:uid="{C04A0F2F-F380-4FEF-A0BC-8F43D2154B1F}" uniqueName="12" name="Acrobatisch senioren" totalsRowFunction="count" queryTableFieldId="12" dataDxfId="148" totalsRowDxfId="168"/>
    <tableColumn id="13" xr3:uid="{04F2402D-62D5-4A1D-96B1-681E01E2DFEA}" uniqueName="13" name="Acrobatisch junioren" totalsRowFunction="count" queryTableFieldId="13" dataDxfId="147" totalsRowDxfId="169"/>
    <tableColumn id="14" xr3:uid="{B577E129-427F-4CFB-B068-049EF4DE88AA}" uniqueName="14" name="Acrobatisch aspiranten" totalsRowFunction="count" queryTableFieldId="14" dataDxfId="146" totalsRowDxfId="170"/>
    <tableColumn id="15" xr3:uid="{40902506-8CD4-4DCB-99D7-1B06FAF7730E}" uniqueName="15" name="Show senioren" queryTableFieldId="15" dataDxfId="145" totalsRowDxfId="171"/>
    <tableColumn id="16" xr3:uid="{21333790-5ACD-4D58-A41B-95FAEC1B8A0E}" uniqueName="16" name="Show junioren" queryTableFieldId="16" dataDxfId="144" totalsRowDxfId="172"/>
    <tableColumn id="17" xr3:uid="{899CA3AD-01FC-4667-991A-EAC096428C13}" uniqueName="17" name="Show aspiranten" queryTableFieldId="17" dataDxfId="143" totalsRowDxfId="173"/>
    <tableColumn id="18" xr3:uid="{3F07E718-944B-45A3-A734-ABE5359A2AEF}" uniqueName="18" name="Senioren indiv." totalsRowFunction="sum" queryTableFieldId="18" dataDxfId="142" totalsRowDxfId="174"/>
    <tableColumn id="19" xr3:uid="{9D93CF78-FCC8-4A56-B8C4-84EB08B038D5}" uniqueName="19" name="Junioren indiv." totalsRowFunction="sum" queryTableFieldId="19" dataDxfId="141" totalsRowDxfId="175"/>
    <tableColumn id="20" xr3:uid="{E715C39E-E43E-4748-BF18-4CF54EDCB640}" uniqueName="20" name="Aspiranten indiv." totalsRowFunction="sum" queryTableFieldId="20" dataDxfId="140" totalsRowDxfId="176"/>
    <tableColumn id="21" xr3:uid="{AFECDED6-B2B5-4C11-9125-057CBA088D19}" uniqueName="21" name="Sen. ind opgegeven namen" totalsRowFunction="sum" queryTableFieldId="21" dataDxfId="139" totalsRowDxfId="177"/>
    <tableColumn id="22" xr3:uid="{72800143-0F64-4DE9-B866-EC2A09B6CB7C}" uniqueName="22" name="Jun. ind opgegeven namen" totalsRowFunction="sum" queryTableFieldId="22" dataDxfId="138" totalsRowDxfId="178"/>
    <tableColumn id="23" xr3:uid="{8D305989-27B8-4B01-8E74-8E944F746FA7}" uniqueName="23" name="Asp. ind opgegeven namen" totalsRowFunction="sum" queryTableFieldId="23" dataDxfId="137" totalsRowDxfId="179"/>
    <tableColumn id="24" xr3:uid="{12EA3F67-7A37-49EE-B7CD-CE094D8154B6}" uniqueName="24" name="Hoofdkorps" totalsRowFunction="custom" queryTableFieldId="24" dataDxfId="136" totalsRowDxfId="180">
      <totalsRowFormula>COUNTIF(FSD[Hoofdkorps],"x")</totalsRowFormula>
    </tableColumn>
    <tableColumn id="25" xr3:uid="{FA573B34-245C-47F3-81F2-0F464CA67CEA}" uniqueName="25" name="2e korps" totalsRowFunction="custom" queryTableFieldId="25" dataDxfId="135" totalsRowDxfId="181">
      <totalsRowFormula>COUNTIF(FSD[2e korps],"x")</totalsRowFormula>
    </tableColumn>
    <tableColumn id="31" xr3:uid="{C6B6683E-5C96-41A9-B01B-566544560117}" uniqueName="31" name="Groepen, teams, ensembles en duo's" totalsRowFunction="sum" queryTableFieldId="74" totalsRowDxfId="182"/>
    <tableColumn id="27" xr3:uid="{E6390A79-1F93-4025-9782-192BF3044E75}" uniqueName="27" name="Senioren" totalsRowFunction="sum" queryTableFieldId="27" dataDxfId="134" totalsRowDxfId="183"/>
    <tableColumn id="32" xr3:uid="{47F07FDD-ACC0-47B9-B47E-BE6237E27AC1}" uniqueName="32" name="Jong volwassene" totalsRowFunction="sum" queryTableFieldId="75" totalsRowDxfId="184"/>
    <tableColumn id="28" xr3:uid="{95FC90F7-6D74-41B8-BE65-1833DDE14332}" uniqueName="28" name="Junioren" totalsRowFunction="sum" queryTableFieldId="28" dataDxfId="133" totalsRowDxfId="185"/>
    <tableColumn id="29" xr3:uid="{5360D20E-C4EF-427A-B9FC-486AFA38F7BE}" uniqueName="29" name="Aspiranten" totalsRowFunction="sum" queryTableFieldId="29" dataDxfId="132" totalsRowDxfId="186"/>
    <tableColumn id="35" xr3:uid="{6EA4EA09-F769-4C5C-B075-37634BC565EA}" uniqueName="35" name="Opgegeven senioren" totalsRowFunction="sum" queryTableFieldId="76" totalsRowDxfId="187"/>
    <tableColumn id="37" xr3:uid="{2F4AE8EB-4AC3-462E-AB76-EF60F2C3EBF3}" uniqueName="37" name="Opgegeven jong volwassene" totalsRowFunction="sum" queryTableFieldId="77" totalsRowDxfId="188"/>
    <tableColumn id="39" xr3:uid="{B489B175-B462-41B5-9F40-3A706D5B579C}" uniqueName="39" name="Opgegeven junioren" totalsRowFunction="sum" queryTableFieldId="78" totalsRowDxfId="189"/>
    <tableColumn id="41" xr3:uid="{F22B8BD7-4BC7-47C5-9EFB-A26B25F5DF8B}" uniqueName="41" name="Opgegeven aspiranten" totalsRowFunction="sum" queryTableFieldId="79" totalsRowDxfId="190"/>
    <tableColumn id="33" xr3:uid="{57A237AB-A441-4825-8F6B-31D522535C94}" uniqueName="33" name="Marketentsters" totalsRowFunction="custom" queryTableFieldId="33" dataDxfId="131" totalsRowDxfId="191">
      <totalsRowFormula>COUNTIF(FSD[Marketentsters],"x")</totalsRowFormula>
    </tableColumn>
    <tableColumn id="34" xr3:uid="{CFF4B901-4816-4499-B8C8-FBB5CC26234D}" uniqueName="34" name="Luchtgeweer" totalsRowFunction="custom" queryTableFieldId="34" dataDxfId="130" totalsRowDxfId="192">
      <totalsRowFormula>COUNTIF(FSD[Luchtgeweer],"x")</totalsRowFormula>
    </tableColumn>
    <tableColumn id="42" xr3:uid="{FEA14974-141D-4214-9AD9-CDA825A0E3E5}" uniqueName="42" name="Aantal luchtgeweerschutters" totalsRowFunction="sum" queryTableFieldId="80" dataDxfId="129" totalsRowDxfId="193"/>
    <tableColumn id="36" xr3:uid="{69DE0837-B493-4676-93AE-802895BBB46E}" uniqueName="36" name="Luchtpistool" totalsRowFunction="custom" queryTableFieldId="36" dataDxfId="128" totalsRowDxfId="194">
      <totalsRowFormula>COUNTIF(FSD[Luchtpistool],"x")</totalsRowFormula>
    </tableColumn>
    <tableColumn id="43" xr3:uid="{128AC803-FF09-4C99-9BFD-05E8090ADB1F}" uniqueName="43" name="Aantal luchtpistoolschutters" totalsRowFunction="sum" queryTableFieldId="81" dataDxfId="127" totalsRowDxfId="195"/>
    <tableColumn id="40" xr3:uid="{1DEABBF7-2D57-432C-8D04-ED7529478AA1}" uniqueName="40" name="Handboog" totalsRowFunction="custom" queryTableFieldId="40" dataDxfId="126" totalsRowDxfId="196">
      <totalsRowFormula>COUNTIF(FSD[Handboog],"x")</totalsRowFormula>
    </tableColumn>
    <tableColumn id="44" xr3:uid="{761688DF-91FF-486E-BDCE-FF3E5AA8ACCE}" uniqueName="44" name="Aantal handboogschutters" totalsRowFunction="sum" queryTableFieldId="82" dataDxfId="125" totalsRowDxfId="197"/>
    <tableColumn id="38" xr3:uid="{7D5EF677-5F60-4277-AC20-0845BAEE465E}" uniqueName="38" name="Kruisboog" totalsRowFunction="custom" queryTableFieldId="38" dataDxfId="124" totalsRowDxfId="198">
      <totalsRowFormula>COUNTIF(FSD[Kruisboog],"x")</totalsRowFormula>
    </tableColumn>
    <tableColumn id="71" xr3:uid="{2C9358B9-7475-489E-9694-B3B4C97B0B32}" uniqueName="71" name="Aantal kruisboogschutters" totalsRowFunction="sum" queryTableFieldId="83" dataDxfId="123" totalsRowDxfId="199"/>
    <tableColumn id="72" xr3:uid="{A07D6C10-E787-427D-A2EC-DBBD57EC75FA}" uniqueName="72" name="Luchtgeweer jeugd niet ouder dan 17 jaar." totalsRowFunction="custom" queryTableFieldId="84" dataDxfId="122" totalsRowDxfId="200">
      <totalsRowFormula>COUNTIF(FSD[Luchtgeweer jeugd niet ouder dan 17 jaar.],"x")</totalsRowFormula>
    </tableColumn>
    <tableColumn id="73" xr3:uid="{0EB729CA-DC52-4DAF-81A1-F4CA9E39AC96}" uniqueName="73" name="Aantal korpsen" totalsRowFunction="sum" queryTableFieldId="85" totalsRowDxfId="201"/>
    <tableColumn id="74" xr3:uid="{4B828B0D-4DEA-4EB7-9E8D-62006A9F546F}" uniqueName="74" name="Opgegeven jeugdkorpsen LG" totalsRowFunction="sum" queryTableFieldId="86" totalsRowDxfId="202"/>
    <tableColumn id="45" xr3:uid="{3DDEB7CD-1ACF-477A-850B-DC26C9544089}" uniqueName="45" name="Totaal aantal deelnemers" totalsRowFunction="sum" queryTableFieldId="45" dataDxfId="121" totalsRowDxfId="203"/>
    <tableColumn id="46" xr3:uid="{03BCDF0D-E655-4FDC-9FDF-714C72EF21E0}" uniqueName="46" name="Waarvan aantal jeugd (t/m 15 jaar)" totalsRowFunction="sum" queryTableFieldId="46" dataDxfId="120" totalsRowDxfId="204"/>
    <tableColumn id="47" xr3:uid="{1848C3AC-DA5D-414D-86CC-5716528A6449}" uniqueName="47" name="Kanon etc." totalsRowFunction="custom" queryTableFieldId="47" dataDxfId="119" totalsRowDxfId="205">
      <totalsRowFormula>COUNTIF(FSD[Kanon etc.],"x")</totalsRowFormula>
    </tableColumn>
    <tableColumn id="48" xr3:uid="{9536F103-194A-4528-8CF5-42BD315ACC0E}" uniqueName="48" name="Paarden en/of koetsen" totalsRowFunction="custom" queryTableFieldId="48" dataDxfId="118" totalsRowDxfId="206">
      <totalsRowFormula>COUNTIF(FSD[Paarden en/of koetsen],"x")</totalsRowFormula>
    </tableColumn>
    <tableColumn id="49" xr3:uid="{D69853E1-38FA-4FFD-BCDE-760AAEFA4E6D}" uniqueName="49" name="Toelichting/opmerkingen" queryTableFieldId="49" dataDxfId="117" totalsRowDxfId="207"/>
    <tableColumn id="50" xr3:uid="{2D4D71CB-4C44-4624-B6A1-CA83504691E4}" uniqueName="50" name="Inzending-ID" queryTableFieldId="50" dataDxfId="116" totalsRowDxfId="208"/>
    <tableColumn id="51" xr3:uid="{F8FC0A29-19D2-441E-ABBC-6C9448E2F8E5}" uniqueName="51" name="Inzenddatum" queryTableFieldId="51" dataDxfId="115" totalsRowDxfId="209"/>
    <tableColumn id="75" xr3:uid="{DF430BCF-06A0-4909-886A-ED7C3675C9B4}" uniqueName="75" name="Date Updated" queryTableFieldId="87" dataDxfId="114" totalsRowDxfId="210"/>
    <tableColumn id="52" xr3:uid="{A17B95BB-AE23-4602-86E4-E4B69AC172FE}" uniqueName="52" name="Naam van het hoofdkorps" queryTableFieldId="52" dataDxfId="113" totalsRowDxfId="211"/>
    <tableColumn id="53" xr3:uid="{E2FBE64E-F279-4D1C-A0C3-67A6E2083C70}" uniqueName="53" name="Zal op treden als (hoofdkorps)" queryTableFieldId="53" dataDxfId="112" totalsRowDxfId="212"/>
    <tableColumn id="54" xr3:uid="{7E0FF81D-4AE6-429F-A3B8-FDB29CD17EAD}" uniqueName="54" name="Vorm van twee muziekwerken (hoofdkorps)" queryTableFieldId="54" dataDxfId="111" totalsRowDxfId="213"/>
    <tableColumn id="55" xr3:uid="{DDAF515F-C3A4-46D2-9641-5618C7145E94}" uniqueName="55" name="Zal uitkomen in de: (hoofdkorps)" queryTableFieldId="55" dataDxfId="110" totalsRowDxfId="214"/>
    <tableColumn id="56" xr3:uid="{9B712097-685D-41FF-BDCD-B39B0DAEDE68}" uniqueName="56" name="Muziekwerk1 (hoofdkorps)" queryTableFieldId="56" dataDxfId="109" totalsRowDxfId="215"/>
    <tableColumn id="57" xr3:uid="{DCE8685F-7B4B-40B8-B019-8DFBBE97A1A7}" uniqueName="57" name="Muziekwerk2 (hoofdkorps)" queryTableFieldId="57" dataDxfId="108" totalsRowDxfId="216"/>
    <tableColumn id="58" xr3:uid="{E2D403CC-64F0-40C2-BC6C-3633185356EF}" uniqueName="58" name="Korps bestaat uit ... deelnemers (hoofdkorps)" queryTableFieldId="58" dataDxfId="107" totalsRowDxfId="217"/>
    <tableColumn id="59" xr3:uid="{F2BAB700-D010-4DF5-ABBB-8C0B80B9CF18}" uniqueName="59" name="Naam van het 2e korps" queryTableFieldId="59" dataDxfId="106" totalsRowDxfId="218"/>
    <tableColumn id="60" xr3:uid="{33D15A13-08B7-4A86-80A6-20EA64C6E2A5}" uniqueName="60" name="Zal op treden als (2e korps)" queryTableFieldId="60" dataDxfId="105" totalsRowDxfId="219"/>
    <tableColumn id="61" xr3:uid="{FD5B2EDA-25E5-4AC8-973D-FA2C249175E8}" uniqueName="61" name="Vorm van twee muziekwerken (2e korps)" queryTableFieldId="61" dataDxfId="104" totalsRowDxfId="220"/>
    <tableColumn id="62" xr3:uid="{62B0C79A-C44C-44F0-8B47-55CA4F4FBFFB}" uniqueName="62" name="Zal uitkomen in de: (2e korps)" queryTableFieldId="62" dataDxfId="103" totalsRowDxfId="221"/>
    <tableColumn id="63" xr3:uid="{D1B9CF45-CE19-4F97-8A84-8EC77B278A3D}" uniqueName="63" name="Muziekwerk1 (2e korps)" queryTableFieldId="63" dataDxfId="102" totalsRowDxfId="222"/>
    <tableColumn id="64" xr3:uid="{12EEBE20-D33A-4624-AAB1-9C626FD7E923}" uniqueName="64" name="Muziekwerk2 (2e korps)" queryTableFieldId="64" dataDxfId="101" totalsRowDxfId="223"/>
    <tableColumn id="65" xr3:uid="{04BCB239-F2BF-43F7-8769-8C4596666DC7}" uniqueName="65" name="Korps bestaat uit ... deelnemers (2e korps)" queryTableFieldId="65" dataDxfId="100" totalsRowDxfId="224"/>
    <tableColumn id="69" xr3:uid="{48685445-1CE2-4641-9D83-AE4933D7CA2D}" uniqueName="69" name="Mechanische muziek" queryTableFieldId="69" dataDxfId="99" totalsRowDxfId="225"/>
    <tableColumn id="66" xr3:uid="{CA4F0955-5464-46EE-BEA9-38CE7800D2EC}" uniqueName="66" name="Onderdelen" queryTableFieldId="66" dataDxfId="98" totalsRowDxfId="226"/>
    <tableColumn id="67" xr3:uid="{3F1F53B8-F781-401E-82C8-90031468BF1B}" uniqueName="67" name="Secties" queryTableFieldId="67" dataDxfId="97" totalsRowDxfId="227"/>
    <tableColumn id="68" xr3:uid="{D58A6DB8-6A15-4F87-AC46-684B07791844}" uniqueName="68" name="Leeftijdscategorie" queryTableFieldId="68" dataDxfId="96" totalsRowDxfId="228"/>
    <tableColumn id="70" xr3:uid="{306F10D5-06E3-4B62-BCA3-911F4788FCB0}" uniqueName="70" name="Aantal opgegeven majorettes" totalsRowFunction="sum" queryTableFieldId="70" dataDxfId="95" totalsRowDxfId="229"/>
  </tableColumns>
  <tableStyleInfo name="TableStyleMedium7"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80D1A4A-A185-49B3-AA23-9EC8A2F0ED97}" name="GKVI" displayName="GKVI" ref="A6:W26" tableType="queryTable" totalsRowCount="1" headerRowDxfId="817">
  <autoFilter ref="A6:W25" xr:uid="{580D1A4A-A185-49B3-AA23-9EC8A2F0ED97}"/>
  <tableColumns count="23">
    <tableColumn id="2" xr3:uid="{40F56B9E-0D9C-4F2A-B8F1-34C3B3D7E994}" uniqueName="2" name="Inzending-ID" totalsRowLabel="Totaal" queryTableFieldId="29" dataDxfId="73"/>
    <tableColumn id="20" xr3:uid="{1DF80CEA-9B28-4579-A6A0-97308306E1C1}" uniqueName="20" name="Inzenddatum" queryTableFieldId="20" dataDxfId="72" totalsRowDxfId="74" dataCellStyle="Standaard 2"/>
    <tableColumn id="1" xr3:uid="{110A6271-7C80-4137-949B-E6DB2359986B}" uniqueName="1" name="GKVI" totalsRowFunction="count" queryTableFieldId="1" dataDxfId="71" totalsRowDxfId="75" dataCellStyle="Standaard 2"/>
    <tableColumn id="21" xr3:uid="{7802E2CF-F085-4C93-AD5C-D56F8AD610F8}" uniqueName="21" name="Ver.nr." queryTableFieldId="21" dataDxfId="70" totalsRowDxfId="76" dataCellStyle="Standaard 2"/>
    <tableColumn id="3" xr3:uid="{1860F804-C753-411A-9507-66D95E27BCD9}" uniqueName="3" name="Naam vereniging" queryTableFieldId="3" dataDxfId="69" totalsRowDxfId="77" dataCellStyle="Standaard 2"/>
    <tableColumn id="4" xr3:uid="{626EFE54-511D-4543-A27C-AC16A212F88E}" uniqueName="4" name="Korps klassiek senioren" totalsRowFunction="sum" queryTableFieldId="4" dataDxfId="68" totalsRowDxfId="78" dataCellStyle="Standaard 2"/>
    <tableColumn id="5" xr3:uid="{2C978935-C142-461D-9CAB-86BEDCACC1B6}" uniqueName="5" name="Korps 1 klassiek junioren" totalsRowFunction="sum" queryTableFieldId="35" dataDxfId="67" totalsRowDxfId="79" dataCellStyle="Standaard 2"/>
    <tableColumn id="6" xr3:uid="{32EB3BA3-0096-4E9C-82A9-0539D4EFE7C1}" uniqueName="6" name="Korps 2 klassiek junioren" totalsRowFunction="sum" queryTableFieldId="36" dataDxfId="66" totalsRowDxfId="80" dataCellStyle="Standaard 2"/>
    <tableColumn id="13" xr3:uid="{133B5693-EBB2-4DBA-A79B-067BCBBE2CE9}" uniqueName="13" name="Korps 1 klassiek aspiranten" totalsRowFunction="sum" queryTableFieldId="37" dataDxfId="65" totalsRowDxfId="81" dataCellStyle="Standaard 2"/>
    <tableColumn id="14" xr3:uid="{84B8959F-E520-4D80-BCD2-391D4D054680}" uniqueName="14" name="Korps 2 klassiek aspiranten" totalsRowFunction="sum" queryTableFieldId="38" dataDxfId="64" totalsRowDxfId="82" dataCellStyle="Standaard 2"/>
    <tableColumn id="7" xr3:uid="{D5298E7B-EDFA-41D8-87A2-617880C953B1}" uniqueName="7" name="Korps acrob. senioren" totalsRowFunction="sum" queryTableFieldId="7" dataDxfId="63" totalsRowDxfId="83" dataCellStyle="Standaard 2"/>
    <tableColumn id="8" xr3:uid="{D76DE73F-3A17-4720-BD3C-6D9627BA63D8}" uniqueName="8" name="Korps acrob. junioren" totalsRowFunction="sum" queryTableFieldId="8" dataDxfId="62" totalsRowDxfId="84" dataCellStyle="Standaard 2"/>
    <tableColumn id="9" xr3:uid="{F258AC41-9244-4703-868E-5F889D3C5505}" uniqueName="9" name="Korps acrob. aspiranten" totalsRowFunction="sum" queryTableFieldId="9" dataDxfId="61" totalsRowDxfId="85" dataCellStyle="Standaard 2"/>
    <tableColumn id="10" xr3:uid="{B2EFF584-BB62-458C-BEF7-6EA9FEA68AD4}" uniqueName="10" name="Korps show senioren" queryTableFieldId="10" dataDxfId="60" totalsRowDxfId="86" dataCellStyle="Standaard 2"/>
    <tableColumn id="11" xr3:uid="{E0FD80DD-A6C5-4CED-85D7-8B6A8E1C26D5}" uniqueName="11" name="Korps show junioren" totalsRowFunction="sum" queryTableFieldId="11" dataDxfId="59" totalsRowDxfId="87" dataCellStyle="Standaard 2"/>
    <tableColumn id="12" xr3:uid="{21F32278-BFBE-440E-AC5C-EAAB07CB64C3}" uniqueName="12" name="Korps show aspiranten" totalsRowFunction="sum" queryTableFieldId="12" dataDxfId="58" totalsRowDxfId="88" dataCellStyle="Standaard 2"/>
    <tableColumn id="22" xr3:uid="{0A53BF77-163C-445B-8BBF-383AC79C51B5}" uniqueName="22" name="Senioren" totalsRowFunction="sum" queryTableFieldId="23" dataDxfId="57" totalsRowDxfId="89" dataCellStyle="Standaard 2"/>
    <tableColumn id="23" xr3:uid="{F94B7E91-70F1-4FC0-8251-010921163934}" uniqueName="23" name="Junioren" totalsRowFunction="sum" queryTableFieldId="24" dataDxfId="56" totalsRowDxfId="90" dataCellStyle="Standaard 2"/>
    <tableColumn id="24" xr3:uid="{706CCAB4-C1B4-401B-B21B-6C5924F7A454}" uniqueName="24" name="Aspiranten" totalsRowFunction="sum" queryTableFieldId="25" dataDxfId="55" totalsRowDxfId="91" dataCellStyle="Standaard 2"/>
    <tableColumn id="17" xr3:uid="{B21C9857-A84D-4F88-9DEF-3CA88FC3CFE7}" uniqueName="17" name="Aantal deelnemers" totalsRowFunction="sum" queryTableFieldId="17" dataDxfId="54" totalsRowDxfId="92" dataCellStyle="Standaard 2"/>
    <tableColumn id="18" xr3:uid="{BF6C55CC-07B8-451D-9CB3-A16BF13790B6}" uniqueName="18" name="Hiervan is aspirant" totalsRowFunction="sum" queryTableFieldId="18" dataDxfId="53" totalsRowDxfId="93" dataCellStyle="Standaard 2"/>
    <tableColumn id="16" xr3:uid="{02E6C8C2-0C56-4DF9-8655-CA81BDE25E64}" uniqueName="16" name="Opmerkingen" queryTableFieldId="16" dataDxfId="52" totalsRowDxfId="94" dataCellStyle="Standaard 2"/>
    <tableColumn id="15" xr3:uid="{E8FF6363-88A2-4F78-B4E7-1746482BEFDB}" uniqueName="15" name="Date Updated" queryTableFieldId="39" dataDxfId="51" dataCellStyle="Standaard 2"/>
  </tableColumns>
  <tableStyleInfo name="TableStyleMedium7"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5DB9436B-5FFD-49AE-9ACB-2367BAA201D1}" name="Bielemantreffen_2" displayName="Bielemantreffen_2" ref="A5:K13" tableType="queryTable" totalsRowCount="1" headerRowDxfId="816">
  <autoFilter ref="A5:K12" xr:uid="{5DB9436B-5FFD-49AE-9ACB-2367BAA201D1}"/>
  <tableColumns count="11">
    <tableColumn id="3" xr3:uid="{5B3EE3F4-6AB4-4B63-B0B2-2C26C5F5B8B0}" uniqueName="3" name="BIEL" totalsRowLabel="Totaal" queryTableFieldId="3" dataDxfId="10" totalsRowDxfId="41"/>
    <tableColumn id="4" xr3:uid="{D2C17856-F0DB-4145-A428-42E1EBC056B4}" uniqueName="4" name="Ver.nr." queryTableFieldId="4" dataDxfId="9" totalsRowDxfId="42"/>
    <tableColumn id="5" xr3:uid="{638102D6-3D21-446C-9D8E-AF61BE00142F}" uniqueName="5" name="Naam vereniging" totalsRowFunction="count" queryTableFieldId="5" dataDxfId="8" totalsRowDxfId="43"/>
    <tableColumn id="6" xr3:uid="{E7CB2C54-ADFB-4FC6-9823-F9768057F974}" uniqueName="6" name="Senioren" totalsRowFunction="sum" queryTableFieldId="6" dataDxfId="7" totalsRowDxfId="44"/>
    <tableColumn id="72" xr3:uid="{11C6C24B-6F22-4B1C-BAE6-59C482B388B2}" uniqueName="72" name="Jong volwassene" totalsRowFunction="sum" queryTableFieldId="84" dataDxfId="6" totalsRowDxfId="45"/>
    <tableColumn id="7" xr3:uid="{19847D58-FE70-4311-93D8-514131D5B68A}" uniqueName="7" name="Junioren" totalsRowFunction="sum" queryTableFieldId="7" dataDxfId="5" totalsRowDxfId="46"/>
    <tableColumn id="8" xr3:uid="{CC6817C6-19FE-4F2A-8D25-3CCC027A9097}" uniqueName="8" name="Aspiranten" totalsRowFunction="sum" queryTableFieldId="8" dataDxfId="4" totalsRowDxfId="47"/>
    <tableColumn id="9" xr3:uid="{85B7013C-1632-47F7-8940-DB6F8462668C}" uniqueName="9" name="Opmerkingen/toelichting" queryTableFieldId="9" dataDxfId="3" totalsRowDxfId="48"/>
    <tableColumn id="1" xr3:uid="{BE6FFDA5-A18B-48C5-8896-2AF02E49029B}" uniqueName="1" name="Inzending-ID" queryTableFieldId="1" dataDxfId="2" totalsRowDxfId="49"/>
    <tableColumn id="2" xr3:uid="{EE2A5C99-9FF5-434A-8A91-052622DCB816}" uniqueName="2" name="Inzenddatum" queryTableFieldId="2" dataDxfId="1" totalsRowDxfId="50"/>
    <tableColumn id="10" xr3:uid="{9C4AF465-3B66-400C-9BE5-32A2532DF57D}" uniqueName="10" name="Date Updated" queryTableFieldId="87" dataDxfId="0"/>
  </tableColumns>
  <tableStyleInfo name="TableStyleMedium7" showFirstColumn="0" showLastColumn="0" showRowStripes="1" showColumnStripes="0"/>
</table>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table" Target="../tables/table6.xml"/></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5D7BAB-3485-4E29-90D6-492F584E3FD6}">
  <dimension ref="A1:CA109"/>
  <sheetViews>
    <sheetView zoomScaleNormal="100" workbookViewId="0">
      <pane xSplit="3" ySplit="6" topLeftCell="D7" activePane="bottomRight" state="frozen"/>
      <selection pane="topRight" activeCell="D1" sqref="D1"/>
      <selection pane="bottomLeft" activeCell="A7" sqref="A7"/>
      <selection pane="bottomRight" activeCell="C18" sqref="C18"/>
    </sheetView>
  </sheetViews>
  <sheetFormatPr baseColWidth="10" defaultColWidth="8.83203125" defaultRowHeight="15" x14ac:dyDescent="0.2"/>
  <cols>
    <col min="1" max="1" width="11.5" bestFit="1" customWidth="1"/>
    <col min="2" max="2" width="8.6640625" bestFit="1" customWidth="1"/>
    <col min="3" max="3" width="40.6640625" bestFit="1" customWidth="1"/>
    <col min="4" max="4" width="3.5" bestFit="1" customWidth="1"/>
    <col min="5" max="14" width="8.5" bestFit="1" customWidth="1"/>
    <col min="15" max="17" width="8.33203125" hidden="1" customWidth="1"/>
    <col min="18" max="19" width="8.5" style="71" bestFit="1" customWidth="1"/>
    <col min="20" max="43" width="8.5" bestFit="1" customWidth="1"/>
    <col min="44" max="44" width="8.5" style="61" bestFit="1" customWidth="1"/>
    <col min="45" max="52" width="8.5" bestFit="1" customWidth="1"/>
    <col min="53" max="53" width="23.6640625" style="70" bestFit="1" customWidth="1"/>
    <col min="54" max="54" width="15.83203125" bestFit="1" customWidth="1"/>
    <col min="55" max="56" width="15" bestFit="1" customWidth="1"/>
    <col min="57" max="57" width="40.6640625" bestFit="1" customWidth="1"/>
    <col min="58" max="58" width="23.83203125" bestFit="1" customWidth="1"/>
    <col min="59" max="59" width="30.6640625" bestFit="1" customWidth="1"/>
    <col min="60" max="60" width="30.5" bestFit="1" customWidth="1"/>
    <col min="61" max="61" width="12.83203125" bestFit="1" customWidth="1"/>
    <col min="62" max="62" width="17.83203125" bestFit="1" customWidth="1"/>
    <col min="63" max="71" width="8.5" bestFit="1" customWidth="1"/>
    <col min="72" max="72" width="28.6640625" bestFit="1" customWidth="1"/>
    <col min="73" max="73" width="26.33203125" bestFit="1" customWidth="1"/>
    <col min="74" max="74" width="22.83203125" bestFit="1" customWidth="1"/>
    <col min="75" max="75" width="8.5" bestFit="1" customWidth="1"/>
    <col min="76" max="76" width="15.6640625" style="1" bestFit="1" customWidth="1"/>
    <col min="77" max="77" width="21.33203125" style="1" bestFit="1" customWidth="1"/>
    <col min="78" max="79" width="9.33203125" bestFit="1" customWidth="1"/>
  </cols>
  <sheetData>
    <row r="1" spans="1:79" x14ac:dyDescent="0.2">
      <c r="AI1" t="s">
        <v>0</v>
      </c>
      <c r="AL1" s="2"/>
      <c r="AM1" s="2"/>
      <c r="AS1" s="1"/>
      <c r="AT1" s="1"/>
      <c r="BX1" s="33"/>
      <c r="BY1" s="33"/>
      <c r="BZ1" s="33"/>
      <c r="CA1" s="33"/>
    </row>
    <row r="2" spans="1:79" ht="16" thickBot="1" x14ac:dyDescent="0.25">
      <c r="AL2" s="2"/>
      <c r="AM2" s="2"/>
      <c r="AS2" s="1"/>
      <c r="AT2" s="1"/>
      <c r="BX2" s="33"/>
      <c r="BY2" s="33"/>
      <c r="BZ2" s="33"/>
      <c r="CA2" s="33"/>
    </row>
    <row r="3" spans="1:79" ht="16" thickBot="1" x14ac:dyDescent="0.25">
      <c r="A3" s="20"/>
      <c r="B3" s="21"/>
      <c r="C3" s="22"/>
      <c r="D3" s="133" t="s">
        <v>1</v>
      </c>
      <c r="E3" s="134"/>
      <c r="F3" s="134"/>
      <c r="G3" s="134"/>
      <c r="H3" s="135"/>
      <c r="I3" s="136" t="s">
        <v>2</v>
      </c>
      <c r="J3" s="137"/>
      <c r="K3" s="137"/>
      <c r="L3" s="137"/>
      <c r="M3" s="137"/>
      <c r="N3" s="137"/>
      <c r="O3" s="137"/>
      <c r="P3" s="137"/>
      <c r="Q3" s="137"/>
      <c r="R3" s="137"/>
      <c r="S3" s="137"/>
      <c r="T3" s="137"/>
      <c r="U3" s="137"/>
      <c r="V3" s="137"/>
      <c r="W3" s="137"/>
      <c r="X3" s="137"/>
      <c r="Y3" s="138"/>
      <c r="Z3" s="133" t="s">
        <v>3</v>
      </c>
      <c r="AA3" s="135"/>
      <c r="AB3" s="26" t="s">
        <v>4</v>
      </c>
      <c r="AC3" s="95" t="s">
        <v>5</v>
      </c>
      <c r="AD3" s="96"/>
      <c r="AE3" s="96"/>
      <c r="AF3" s="96"/>
      <c r="AG3" s="96"/>
      <c r="AH3" s="96"/>
      <c r="AI3" s="96"/>
      <c r="AJ3" s="97"/>
      <c r="AK3" s="26" t="s">
        <v>6</v>
      </c>
      <c r="AL3" s="133" t="s">
        <v>7</v>
      </c>
      <c r="AM3" s="134"/>
      <c r="AN3" s="134"/>
      <c r="AO3" s="134"/>
      <c r="AP3" s="134"/>
      <c r="AQ3" s="134"/>
      <c r="AR3" s="134"/>
      <c r="AS3" s="134"/>
      <c r="AT3" s="134"/>
      <c r="AU3" s="134"/>
      <c r="AV3" s="135"/>
      <c r="AW3" s="133" t="s">
        <v>8</v>
      </c>
      <c r="AX3" s="134"/>
      <c r="AY3" s="134"/>
      <c r="AZ3" s="134"/>
      <c r="BA3" s="134"/>
      <c r="BB3" s="134"/>
      <c r="BC3" s="134"/>
      <c r="BD3" s="135"/>
      <c r="BE3" s="136" t="s">
        <v>9</v>
      </c>
      <c r="BF3" s="137"/>
      <c r="BG3" s="137"/>
      <c r="BH3" s="137"/>
      <c r="BI3" s="137"/>
      <c r="BJ3" s="137"/>
      <c r="BK3" s="137"/>
      <c r="BL3" s="137"/>
      <c r="BM3" s="137"/>
      <c r="BN3" s="137"/>
      <c r="BO3" s="137"/>
      <c r="BP3" s="137"/>
      <c r="BQ3" s="137"/>
      <c r="BR3" s="137"/>
      <c r="BS3" s="139" t="s">
        <v>10</v>
      </c>
      <c r="BT3" s="140"/>
      <c r="BU3" s="140"/>
      <c r="BV3" s="140"/>
      <c r="BW3" s="141"/>
      <c r="BX3"/>
      <c r="BY3"/>
    </row>
    <row r="4" spans="1:79" ht="16" thickBot="1" x14ac:dyDescent="0.25">
      <c r="A4" s="23"/>
      <c r="B4" s="24"/>
      <c r="C4" s="25"/>
      <c r="D4" s="23"/>
      <c r="E4" s="24"/>
      <c r="F4" s="24"/>
      <c r="G4" s="24"/>
      <c r="H4" s="25"/>
      <c r="I4" s="88" t="s">
        <v>11</v>
      </c>
      <c r="J4" s="89"/>
      <c r="K4" s="89"/>
      <c r="L4" s="89"/>
      <c r="M4" s="90"/>
      <c r="N4" s="136" t="s">
        <v>88</v>
      </c>
      <c r="O4" s="137"/>
      <c r="P4" s="138"/>
      <c r="Q4" s="136" t="s">
        <v>13</v>
      </c>
      <c r="R4" s="137"/>
      <c r="S4" s="138"/>
      <c r="T4" s="136" t="s">
        <v>14</v>
      </c>
      <c r="U4" s="137"/>
      <c r="V4" s="137"/>
      <c r="W4" s="137"/>
      <c r="X4" s="137"/>
      <c r="Y4" s="138"/>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24"/>
      <c r="AZ4" s="24"/>
      <c r="BA4" s="108"/>
      <c r="BB4" s="24"/>
      <c r="BC4" s="24"/>
      <c r="BD4" s="25"/>
      <c r="BE4" s="136" t="s">
        <v>15</v>
      </c>
      <c r="BF4" s="137"/>
      <c r="BG4" s="137"/>
      <c r="BH4" s="137"/>
      <c r="BI4" s="137"/>
      <c r="BJ4" s="137"/>
      <c r="BK4" s="138"/>
      <c r="BL4" s="136" t="s">
        <v>16</v>
      </c>
      <c r="BM4" s="137"/>
      <c r="BN4" s="137"/>
      <c r="BO4" s="137"/>
      <c r="BP4" s="137"/>
      <c r="BQ4" s="137"/>
      <c r="BR4" s="138"/>
      <c r="BS4" s="136"/>
      <c r="BT4" s="137"/>
      <c r="BU4" s="137"/>
      <c r="BV4" s="137"/>
      <c r="BW4" s="138"/>
      <c r="BX4"/>
      <c r="BY4"/>
    </row>
    <row r="5" spans="1:79" ht="6.75" customHeight="1" thickBot="1" x14ac:dyDescent="0.25">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63"/>
      <c r="AS5" s="1"/>
      <c r="AT5" s="1"/>
      <c r="AU5" s="1"/>
      <c r="AV5" s="1"/>
      <c r="AW5" s="1"/>
      <c r="AX5" s="1"/>
      <c r="AY5" s="1"/>
      <c r="AZ5" s="1"/>
      <c r="BB5" s="1"/>
      <c r="BC5" s="1"/>
      <c r="BD5" s="1"/>
      <c r="BE5" s="1"/>
      <c r="BF5" s="1"/>
      <c r="BG5" s="1"/>
      <c r="BH5" s="1"/>
      <c r="BI5" s="1"/>
      <c r="BJ5" s="1"/>
      <c r="BK5" s="1"/>
      <c r="BL5" s="1"/>
      <c r="BM5" s="1"/>
      <c r="BN5" s="1"/>
      <c r="BO5" s="1"/>
      <c r="BP5" s="1"/>
      <c r="BQ5" s="1"/>
      <c r="BR5" s="1"/>
      <c r="BS5" s="1"/>
      <c r="BT5" s="1"/>
      <c r="BU5" s="1"/>
      <c r="BV5" s="1"/>
      <c r="BW5" s="1"/>
      <c r="BZ5" s="1"/>
      <c r="CA5" s="1"/>
    </row>
    <row r="6" spans="1:79" s="2" customFormat="1" ht="218" thickBot="1" x14ac:dyDescent="0.25">
      <c r="A6" s="77" t="s">
        <v>17</v>
      </c>
      <c r="B6" s="7" t="s">
        <v>18</v>
      </c>
      <c r="C6" s="8" t="s">
        <v>19</v>
      </c>
      <c r="D6" s="78" t="s">
        <v>20</v>
      </c>
      <c r="E6" s="10" t="s">
        <v>21</v>
      </c>
      <c r="F6" s="10" t="s">
        <v>22</v>
      </c>
      <c r="G6" s="10" t="s">
        <v>23</v>
      </c>
      <c r="H6" s="10"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12" t="s">
        <v>112</v>
      </c>
      <c r="AH6" s="12" t="s">
        <v>113</v>
      </c>
      <c r="AI6" s="12" t="s">
        <v>114</v>
      </c>
      <c r="AJ6" s="13" t="s">
        <v>115</v>
      </c>
      <c r="AK6" s="11" t="s">
        <v>41</v>
      </c>
      <c r="AL6" s="9" t="s">
        <v>42</v>
      </c>
      <c r="AM6" s="12" t="s">
        <v>122</v>
      </c>
      <c r="AN6" s="10" t="s">
        <v>43</v>
      </c>
      <c r="AO6" s="12" t="s">
        <v>123</v>
      </c>
      <c r="AP6" s="10" t="s">
        <v>45</v>
      </c>
      <c r="AQ6" s="12" t="s">
        <v>124</v>
      </c>
      <c r="AR6" s="10" t="s">
        <v>44</v>
      </c>
      <c r="AS6" s="12" t="s">
        <v>125</v>
      </c>
      <c r="AT6" s="10" t="s">
        <v>116</v>
      </c>
      <c r="AU6" s="10" t="s">
        <v>117</v>
      </c>
      <c r="AV6" s="12" t="s">
        <v>118</v>
      </c>
      <c r="AW6" s="10" t="s">
        <v>46</v>
      </c>
      <c r="AX6" s="10" t="s">
        <v>47</v>
      </c>
      <c r="AY6" s="10" t="s">
        <v>48</v>
      </c>
      <c r="AZ6" s="10" t="s">
        <v>49</v>
      </c>
      <c r="BA6" s="109" t="s">
        <v>50</v>
      </c>
      <c r="BB6" s="24" t="s">
        <v>51</v>
      </c>
      <c r="BC6" s="11" t="s">
        <v>52</v>
      </c>
      <c r="BD6" s="11"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1" t="s">
        <v>66</v>
      </c>
      <c r="BS6" s="10" t="s">
        <v>70</v>
      </c>
      <c r="BT6" s="9" t="s">
        <v>67</v>
      </c>
      <c r="BU6" s="10" t="s">
        <v>68</v>
      </c>
      <c r="BV6" s="10" t="s">
        <v>69</v>
      </c>
      <c r="BW6" s="11" t="s">
        <v>71</v>
      </c>
    </row>
    <row r="7" spans="1:79" ht="48" x14ac:dyDescent="0.2">
      <c r="A7" s="168" t="s">
        <v>167</v>
      </c>
      <c r="B7" s="168" t="s">
        <v>231</v>
      </c>
      <c r="C7" s="168" t="s">
        <v>232</v>
      </c>
      <c r="D7" s="169" t="s">
        <v>73</v>
      </c>
      <c r="E7" s="169" t="s">
        <v>72</v>
      </c>
      <c r="F7" s="169" t="s">
        <v>72</v>
      </c>
      <c r="G7" s="169" t="s">
        <v>73</v>
      </c>
      <c r="H7" s="169"/>
      <c r="I7" s="169">
        <v>10</v>
      </c>
      <c r="N7" s="169"/>
      <c r="O7" s="169"/>
      <c r="P7" s="169"/>
      <c r="Q7" s="169" t="s">
        <v>73</v>
      </c>
      <c r="R7" s="169" t="s">
        <v>73</v>
      </c>
      <c r="S7" s="169" t="s">
        <v>73</v>
      </c>
      <c r="T7" s="79"/>
      <c r="U7" s="79"/>
      <c r="V7" s="1"/>
      <c r="W7" s="1"/>
      <c r="X7" s="1"/>
      <c r="Y7" s="1"/>
      <c r="Z7" s="169" t="s">
        <v>73</v>
      </c>
      <c r="AA7" s="169" t="s">
        <v>73</v>
      </c>
      <c r="AC7" s="1">
        <v>5</v>
      </c>
      <c r="AE7" s="1"/>
      <c r="AF7" s="1"/>
      <c r="AG7">
        <v>5</v>
      </c>
      <c r="AK7" s="169" t="s">
        <v>73</v>
      </c>
      <c r="AL7" s="169" t="s">
        <v>73</v>
      </c>
      <c r="AN7" s="169" t="s">
        <v>73</v>
      </c>
      <c r="AP7" s="169" t="s">
        <v>73</v>
      </c>
      <c r="AR7" s="169" t="s">
        <v>73</v>
      </c>
      <c r="AT7" s="168" t="s">
        <v>73</v>
      </c>
      <c r="AW7" s="1">
        <v>70</v>
      </c>
      <c r="AX7" s="1">
        <v>5</v>
      </c>
      <c r="AY7" s="169" t="s">
        <v>72</v>
      </c>
      <c r="AZ7" s="169" t="s">
        <v>73</v>
      </c>
      <c r="BA7" s="170" t="s">
        <v>233</v>
      </c>
      <c r="BB7" s="169">
        <v>1872</v>
      </c>
      <c r="BC7" s="102">
        <v>45645.466805555552</v>
      </c>
      <c r="BD7" s="87">
        <v>45645.425138888888</v>
      </c>
      <c r="BE7" s="169" t="s">
        <v>73</v>
      </c>
      <c r="BF7" s="169" t="s">
        <v>73</v>
      </c>
      <c r="BG7" s="169" t="s">
        <v>73</v>
      </c>
      <c r="BH7" s="169" t="s">
        <v>73</v>
      </c>
      <c r="BI7" s="169" t="s">
        <v>73</v>
      </c>
      <c r="BJ7" s="169" t="s">
        <v>73</v>
      </c>
      <c r="BK7" s="169"/>
      <c r="BL7" s="169" t="s">
        <v>73</v>
      </c>
      <c r="BM7" s="169" t="s">
        <v>73</v>
      </c>
      <c r="BN7" s="169" t="s">
        <v>73</v>
      </c>
      <c r="BO7" s="169" t="s">
        <v>73</v>
      </c>
      <c r="BP7" s="169" t="s">
        <v>73</v>
      </c>
      <c r="BQ7" s="169" t="s">
        <v>73</v>
      </c>
      <c r="BR7" s="1"/>
      <c r="BS7" s="169" t="s">
        <v>73</v>
      </c>
      <c r="BT7" s="169" t="s">
        <v>73</v>
      </c>
      <c r="BU7" s="169" t="s">
        <v>73</v>
      </c>
      <c r="BV7" s="169" t="s">
        <v>73</v>
      </c>
      <c r="BW7" s="1"/>
      <c r="BX7"/>
      <c r="BY7"/>
    </row>
    <row r="8" spans="1:79" ht="16" x14ac:dyDescent="0.2">
      <c r="A8" s="168" t="s">
        <v>167</v>
      </c>
      <c r="B8" s="168" t="s">
        <v>203</v>
      </c>
      <c r="C8" s="168" t="s">
        <v>204</v>
      </c>
      <c r="D8" s="169" t="s">
        <v>73</v>
      </c>
      <c r="E8" s="169" t="s">
        <v>72</v>
      </c>
      <c r="F8" s="169" t="s">
        <v>73</v>
      </c>
      <c r="G8" s="169" t="s">
        <v>73</v>
      </c>
      <c r="H8" s="169"/>
      <c r="I8" s="169"/>
      <c r="N8" s="169"/>
      <c r="O8" s="169"/>
      <c r="P8" s="169"/>
      <c r="Q8" s="169" t="s">
        <v>73</v>
      </c>
      <c r="R8" s="169" t="s">
        <v>73</v>
      </c>
      <c r="S8" s="169" t="s">
        <v>73</v>
      </c>
      <c r="T8" s="79"/>
      <c r="U8" s="79"/>
      <c r="V8" s="1"/>
      <c r="W8" s="1"/>
      <c r="X8" s="1"/>
      <c r="Y8" s="1"/>
      <c r="Z8" s="169" t="s">
        <v>73</v>
      </c>
      <c r="AA8" s="169" t="s">
        <v>73</v>
      </c>
      <c r="AC8" s="1"/>
      <c r="AE8" s="1"/>
      <c r="AF8" s="1"/>
      <c r="AK8" s="169" t="s">
        <v>73</v>
      </c>
      <c r="AL8" s="169" t="s">
        <v>73</v>
      </c>
      <c r="AN8" s="169" t="s">
        <v>73</v>
      </c>
      <c r="AP8" s="169" t="s">
        <v>73</v>
      </c>
      <c r="AR8" s="169" t="s">
        <v>73</v>
      </c>
      <c r="AT8" s="168" t="s">
        <v>73</v>
      </c>
      <c r="AW8" s="1">
        <v>55</v>
      </c>
      <c r="AX8" s="1">
        <v>2</v>
      </c>
      <c r="AY8" s="169" t="s">
        <v>72</v>
      </c>
      <c r="AZ8" s="169" t="s">
        <v>73</v>
      </c>
      <c r="BA8" s="170" t="s">
        <v>73</v>
      </c>
      <c r="BB8" s="169">
        <v>1842</v>
      </c>
      <c r="BC8" s="102">
        <v>45642.662719907406</v>
      </c>
      <c r="BD8" s="87">
        <v>45642.621053240742</v>
      </c>
      <c r="BE8" s="169" t="s">
        <v>73</v>
      </c>
      <c r="BF8" s="169" t="s">
        <v>73</v>
      </c>
      <c r="BG8" s="169" t="s">
        <v>73</v>
      </c>
      <c r="BH8" s="169" t="s">
        <v>73</v>
      </c>
      <c r="BI8" s="169" t="s">
        <v>73</v>
      </c>
      <c r="BJ8" s="169" t="s">
        <v>73</v>
      </c>
      <c r="BK8" s="169"/>
      <c r="BL8" s="169" t="s">
        <v>73</v>
      </c>
      <c r="BM8" s="169" t="s">
        <v>73</v>
      </c>
      <c r="BN8" s="169" t="s">
        <v>73</v>
      </c>
      <c r="BO8" s="169" t="s">
        <v>73</v>
      </c>
      <c r="BP8" s="169" t="s">
        <v>73</v>
      </c>
      <c r="BQ8" s="169" t="s">
        <v>73</v>
      </c>
      <c r="BR8" s="1"/>
      <c r="BS8" s="169" t="s">
        <v>73</v>
      </c>
      <c r="BT8" s="169" t="s">
        <v>73</v>
      </c>
      <c r="BU8" s="169" t="s">
        <v>73</v>
      </c>
      <c r="BV8" s="169" t="s">
        <v>73</v>
      </c>
      <c r="BW8" s="1"/>
      <c r="BX8"/>
      <c r="BY8"/>
    </row>
    <row r="9" spans="1:79" ht="16" x14ac:dyDescent="0.2">
      <c r="A9" s="168" t="s">
        <v>167</v>
      </c>
      <c r="B9" s="168" t="s">
        <v>153</v>
      </c>
      <c r="C9" s="168" t="s">
        <v>154</v>
      </c>
      <c r="D9" s="169" t="s">
        <v>73</v>
      </c>
      <c r="E9" s="169" t="s">
        <v>72</v>
      </c>
      <c r="F9" s="169" t="s">
        <v>72</v>
      </c>
      <c r="G9" s="169" t="s">
        <v>73</v>
      </c>
      <c r="H9" s="169"/>
      <c r="I9" s="169">
        <v>14</v>
      </c>
      <c r="N9" s="169">
        <v>6</v>
      </c>
      <c r="O9" s="169"/>
      <c r="P9" s="169"/>
      <c r="Q9" s="169" t="s">
        <v>73</v>
      </c>
      <c r="R9" s="169" t="s">
        <v>73</v>
      </c>
      <c r="S9" s="169" t="s">
        <v>73</v>
      </c>
      <c r="T9" s="79">
        <v>5</v>
      </c>
      <c r="U9" s="79"/>
      <c r="V9" s="1"/>
      <c r="W9" s="1">
        <v>5</v>
      </c>
      <c r="X9" s="1"/>
      <c r="Y9" s="1"/>
      <c r="Z9" s="169" t="s">
        <v>73</v>
      </c>
      <c r="AA9" s="169" t="s">
        <v>73</v>
      </c>
      <c r="AC9" s="1">
        <v>5</v>
      </c>
      <c r="AE9" s="1"/>
      <c r="AF9" s="1"/>
      <c r="AG9">
        <v>5</v>
      </c>
      <c r="AK9" s="169" t="s">
        <v>73</v>
      </c>
      <c r="AL9" s="169" t="s">
        <v>73</v>
      </c>
      <c r="AN9" s="169" t="s">
        <v>73</v>
      </c>
      <c r="AP9" s="169" t="s">
        <v>73</v>
      </c>
      <c r="AR9" s="169" t="s">
        <v>73</v>
      </c>
      <c r="AT9" s="168" t="s">
        <v>73</v>
      </c>
      <c r="AW9" s="1">
        <v>50</v>
      </c>
      <c r="AX9" s="1">
        <v>10</v>
      </c>
      <c r="AY9" s="169" t="s">
        <v>72</v>
      </c>
      <c r="AZ9" s="169" t="s">
        <v>73</v>
      </c>
      <c r="BA9" s="170" t="s">
        <v>73</v>
      </c>
      <c r="BB9" s="169">
        <v>1837</v>
      </c>
      <c r="BC9" s="102">
        <v>45641.532141203701</v>
      </c>
      <c r="BD9" s="87">
        <v>45641.490474537037</v>
      </c>
      <c r="BE9" s="169" t="s">
        <v>73</v>
      </c>
      <c r="BF9" s="169" t="s">
        <v>73</v>
      </c>
      <c r="BG9" s="169" t="s">
        <v>73</v>
      </c>
      <c r="BH9" s="169" t="s">
        <v>73</v>
      </c>
      <c r="BI9" s="169" t="s">
        <v>73</v>
      </c>
      <c r="BJ9" s="169" t="s">
        <v>73</v>
      </c>
      <c r="BK9" s="169"/>
      <c r="BL9" s="169" t="s">
        <v>73</v>
      </c>
      <c r="BM9" s="169" t="s">
        <v>73</v>
      </c>
      <c r="BN9" s="169" t="s">
        <v>73</v>
      </c>
      <c r="BO9" s="169" t="s">
        <v>73</v>
      </c>
      <c r="BP9" s="169" t="s">
        <v>73</v>
      </c>
      <c r="BQ9" s="169" t="s">
        <v>73</v>
      </c>
      <c r="BR9" s="1"/>
      <c r="BS9" s="169" t="s">
        <v>73</v>
      </c>
      <c r="BT9" s="169" t="s">
        <v>73</v>
      </c>
      <c r="BU9" s="169" t="s">
        <v>73</v>
      </c>
      <c r="BV9" s="169" t="s">
        <v>73</v>
      </c>
      <c r="BW9" s="1"/>
      <c r="BX9"/>
      <c r="BY9"/>
    </row>
    <row r="10" spans="1:79" ht="16" x14ac:dyDescent="0.2">
      <c r="A10" s="168" t="s">
        <v>167</v>
      </c>
      <c r="B10" s="168" t="s">
        <v>186</v>
      </c>
      <c r="C10" s="168" t="s">
        <v>187</v>
      </c>
      <c r="D10" s="169" t="s">
        <v>73</v>
      </c>
      <c r="E10" s="169" t="s">
        <v>72</v>
      </c>
      <c r="F10" s="169" t="s">
        <v>73</v>
      </c>
      <c r="G10" s="169" t="s">
        <v>72</v>
      </c>
      <c r="H10" s="169" t="s">
        <v>74</v>
      </c>
      <c r="I10" s="169">
        <v>7</v>
      </c>
      <c r="N10" s="169"/>
      <c r="O10" s="169"/>
      <c r="P10" s="169"/>
      <c r="Q10" s="169" t="s">
        <v>73</v>
      </c>
      <c r="R10" s="169" t="s">
        <v>73</v>
      </c>
      <c r="S10" s="169" t="s">
        <v>73</v>
      </c>
      <c r="T10" s="79"/>
      <c r="U10" s="79"/>
      <c r="V10" s="1"/>
      <c r="W10" s="1">
        <v>1</v>
      </c>
      <c r="X10" s="1"/>
      <c r="Y10" s="1"/>
      <c r="Z10" s="169" t="s">
        <v>73</v>
      </c>
      <c r="AA10" s="169" t="s">
        <v>73</v>
      </c>
      <c r="AB10">
        <v>4</v>
      </c>
      <c r="AC10" s="1">
        <v>5</v>
      </c>
      <c r="AE10" s="1"/>
      <c r="AF10" s="1"/>
      <c r="AG10">
        <v>4</v>
      </c>
      <c r="AK10" s="169" t="s">
        <v>73</v>
      </c>
      <c r="AL10" s="169" t="s">
        <v>73</v>
      </c>
      <c r="AN10" s="169" t="s">
        <v>73</v>
      </c>
      <c r="AP10" s="169" t="s">
        <v>73</v>
      </c>
      <c r="AR10" s="169" t="s">
        <v>73</v>
      </c>
      <c r="AT10" s="168" t="s">
        <v>73</v>
      </c>
      <c r="AW10" s="1">
        <v>90</v>
      </c>
      <c r="AX10" s="1">
        <v>20</v>
      </c>
      <c r="AY10" s="169" t="s">
        <v>72</v>
      </c>
      <c r="AZ10" s="169" t="s">
        <v>73</v>
      </c>
      <c r="BA10" s="170" t="s">
        <v>73</v>
      </c>
      <c r="BB10" s="169">
        <v>1835</v>
      </c>
      <c r="BC10" s="102">
        <v>45639.889189814814</v>
      </c>
      <c r="BD10" s="87">
        <v>45639.84752314815</v>
      </c>
      <c r="BE10" s="169" t="s">
        <v>73</v>
      </c>
      <c r="BF10" s="169" t="s">
        <v>73</v>
      </c>
      <c r="BG10" s="169" t="s">
        <v>73</v>
      </c>
      <c r="BH10" s="169" t="s">
        <v>73</v>
      </c>
      <c r="BI10" s="169" t="s">
        <v>73</v>
      </c>
      <c r="BJ10" s="169" t="s">
        <v>73</v>
      </c>
      <c r="BK10" s="169"/>
      <c r="BL10" s="169" t="s">
        <v>73</v>
      </c>
      <c r="BM10" s="169" t="s">
        <v>73</v>
      </c>
      <c r="BN10" s="169" t="s">
        <v>73</v>
      </c>
      <c r="BO10" s="169" t="s">
        <v>73</v>
      </c>
      <c r="BP10" s="169" t="s">
        <v>73</v>
      </c>
      <c r="BQ10" s="169" t="s">
        <v>73</v>
      </c>
      <c r="BR10" s="1"/>
      <c r="BS10" s="169" t="s">
        <v>75</v>
      </c>
      <c r="BT10" s="169" t="s">
        <v>188</v>
      </c>
      <c r="BU10" s="169" t="s">
        <v>189</v>
      </c>
      <c r="BV10" s="169" t="s">
        <v>190</v>
      </c>
      <c r="BW10" s="1">
        <v>8</v>
      </c>
      <c r="BX10"/>
      <c r="BY10"/>
    </row>
    <row r="11" spans="1:79" ht="16" x14ac:dyDescent="0.2">
      <c r="A11" s="168" t="s">
        <v>167</v>
      </c>
      <c r="B11" s="168" t="s">
        <v>172</v>
      </c>
      <c r="C11" s="168" t="s">
        <v>168</v>
      </c>
      <c r="D11" s="169" t="s">
        <v>73</v>
      </c>
      <c r="E11" s="169" t="s">
        <v>72</v>
      </c>
      <c r="F11" s="169" t="s">
        <v>72</v>
      </c>
      <c r="G11" s="169" t="s">
        <v>73</v>
      </c>
      <c r="H11" s="169" t="s">
        <v>72</v>
      </c>
      <c r="I11" s="169">
        <v>10</v>
      </c>
      <c r="J11">
        <v>3</v>
      </c>
      <c r="L11">
        <v>7</v>
      </c>
      <c r="N11" s="169"/>
      <c r="O11" s="169"/>
      <c r="P11" s="169"/>
      <c r="Q11" s="169" t="s">
        <v>73</v>
      </c>
      <c r="R11" s="169" t="s">
        <v>73</v>
      </c>
      <c r="S11" s="169" t="s">
        <v>73</v>
      </c>
      <c r="T11" s="79"/>
      <c r="U11" s="79"/>
      <c r="V11" s="1"/>
      <c r="W11" s="1"/>
      <c r="X11" s="1"/>
      <c r="Y11" s="1"/>
      <c r="Z11" s="169" t="s">
        <v>73</v>
      </c>
      <c r="AA11" s="169" t="s">
        <v>73</v>
      </c>
      <c r="AB11">
        <v>1</v>
      </c>
      <c r="AC11" s="1">
        <v>11</v>
      </c>
      <c r="AE11" s="1"/>
      <c r="AF11" s="1">
        <v>4</v>
      </c>
      <c r="AG11">
        <v>11</v>
      </c>
      <c r="AJ11">
        <v>4</v>
      </c>
      <c r="AK11" s="169" t="s">
        <v>73</v>
      </c>
      <c r="AL11" s="169" t="s">
        <v>73</v>
      </c>
      <c r="AN11" s="169" t="s">
        <v>73</v>
      </c>
      <c r="AP11" s="169" t="s">
        <v>73</v>
      </c>
      <c r="AR11" s="169" t="s">
        <v>73</v>
      </c>
      <c r="AT11" s="168" t="s">
        <v>73</v>
      </c>
      <c r="AW11" s="1">
        <v>105</v>
      </c>
      <c r="AX11" s="1">
        <v>26</v>
      </c>
      <c r="AY11" s="169" t="s">
        <v>73</v>
      </c>
      <c r="AZ11" s="169" t="s">
        <v>73</v>
      </c>
      <c r="BA11" s="170" t="s">
        <v>73</v>
      </c>
      <c r="BB11" s="169">
        <v>1832</v>
      </c>
      <c r="BC11" s="102">
        <v>45639.39634259259</v>
      </c>
      <c r="BD11" s="87">
        <v>45639.354675925926</v>
      </c>
      <c r="BE11" s="169" t="s">
        <v>73</v>
      </c>
      <c r="BF11" s="169" t="s">
        <v>73</v>
      </c>
      <c r="BG11" s="169" t="s">
        <v>73</v>
      </c>
      <c r="BH11" s="169" t="s">
        <v>73</v>
      </c>
      <c r="BI11" s="169" t="s">
        <v>73</v>
      </c>
      <c r="BJ11" s="169" t="s">
        <v>73</v>
      </c>
      <c r="BK11" s="169"/>
      <c r="BL11" s="169" t="s">
        <v>73</v>
      </c>
      <c r="BM11" s="169" t="s">
        <v>73</v>
      </c>
      <c r="BN11" s="169" t="s">
        <v>73</v>
      </c>
      <c r="BO11" s="169" t="s">
        <v>73</v>
      </c>
      <c r="BP11" s="169" t="s">
        <v>73</v>
      </c>
      <c r="BQ11" s="169" t="s">
        <v>73</v>
      </c>
      <c r="BR11" s="1"/>
      <c r="BS11" s="169" t="s">
        <v>169</v>
      </c>
      <c r="BT11" s="169" t="s">
        <v>196</v>
      </c>
      <c r="BU11" s="169" t="s">
        <v>197</v>
      </c>
      <c r="BV11" s="169" t="s">
        <v>198</v>
      </c>
      <c r="BW11" s="1">
        <v>16</v>
      </c>
      <c r="BX11"/>
      <c r="BY11"/>
    </row>
    <row r="12" spans="1:79" ht="16" x14ac:dyDescent="0.2">
      <c r="A12" s="168" t="s">
        <v>134</v>
      </c>
      <c r="B12" s="168" t="s">
        <v>234</v>
      </c>
      <c r="C12" s="168" t="s">
        <v>235</v>
      </c>
      <c r="D12" s="169" t="s">
        <v>73</v>
      </c>
      <c r="E12" s="169" t="s">
        <v>72</v>
      </c>
      <c r="F12" s="169" t="s">
        <v>73</v>
      </c>
      <c r="G12" s="169" t="s">
        <v>73</v>
      </c>
      <c r="H12" s="169"/>
      <c r="I12" s="169">
        <v>16</v>
      </c>
      <c r="N12" s="169"/>
      <c r="O12" s="169"/>
      <c r="P12" s="169"/>
      <c r="Q12" s="169" t="s">
        <v>73</v>
      </c>
      <c r="R12" s="169" t="s">
        <v>73</v>
      </c>
      <c r="S12" s="169" t="s">
        <v>73</v>
      </c>
      <c r="T12" s="79"/>
      <c r="U12" s="79"/>
      <c r="V12" s="1"/>
      <c r="W12" s="1"/>
      <c r="X12" s="1"/>
      <c r="Y12" s="1"/>
      <c r="Z12" s="169" t="s">
        <v>73</v>
      </c>
      <c r="AA12" s="169" t="s">
        <v>73</v>
      </c>
      <c r="AC12" s="1">
        <v>5</v>
      </c>
      <c r="AE12" s="1"/>
      <c r="AF12" s="1"/>
      <c r="AG12">
        <v>5</v>
      </c>
      <c r="AK12" s="169" t="s">
        <v>73</v>
      </c>
      <c r="AL12" s="169" t="s">
        <v>72</v>
      </c>
      <c r="AM12">
        <v>5</v>
      </c>
      <c r="AN12" s="169" t="s">
        <v>72</v>
      </c>
      <c r="AO12">
        <v>5</v>
      </c>
      <c r="AP12" s="169" t="s">
        <v>73</v>
      </c>
      <c r="AR12" s="169" t="s">
        <v>72</v>
      </c>
      <c r="AS12">
        <v>5</v>
      </c>
      <c r="AT12" s="168" t="s">
        <v>73</v>
      </c>
      <c r="AW12" s="1">
        <v>100</v>
      </c>
      <c r="AX12" s="1">
        <v>8</v>
      </c>
      <c r="AY12" s="169" t="s">
        <v>72</v>
      </c>
      <c r="AZ12" s="169" t="s">
        <v>72</v>
      </c>
      <c r="BA12" s="170" t="s">
        <v>73</v>
      </c>
      <c r="BB12" s="169">
        <v>1876</v>
      </c>
      <c r="BC12" s="102">
        <v>45646.477731481478</v>
      </c>
      <c r="BD12" s="87">
        <v>45646.436064814814</v>
      </c>
      <c r="BE12" s="169" t="s">
        <v>73</v>
      </c>
      <c r="BF12" s="169" t="s">
        <v>73</v>
      </c>
      <c r="BG12" s="169" t="s">
        <v>73</v>
      </c>
      <c r="BH12" s="169" t="s">
        <v>73</v>
      </c>
      <c r="BI12" s="169" t="s">
        <v>73</v>
      </c>
      <c r="BJ12" s="169" t="s">
        <v>73</v>
      </c>
      <c r="BK12" s="169"/>
      <c r="BL12" s="169" t="s">
        <v>73</v>
      </c>
      <c r="BM12" s="169" t="s">
        <v>73</v>
      </c>
      <c r="BN12" s="169" t="s">
        <v>73</v>
      </c>
      <c r="BO12" s="169" t="s">
        <v>73</v>
      </c>
      <c r="BP12" s="169" t="s">
        <v>73</v>
      </c>
      <c r="BQ12" s="169" t="s">
        <v>73</v>
      </c>
      <c r="BR12" s="1"/>
      <c r="BS12" s="169" t="s">
        <v>73</v>
      </c>
      <c r="BT12" s="169" t="s">
        <v>73</v>
      </c>
      <c r="BU12" s="169" t="s">
        <v>73</v>
      </c>
      <c r="BV12" s="169" t="s">
        <v>73</v>
      </c>
      <c r="BW12" s="1"/>
      <c r="BX12"/>
      <c r="BY12"/>
    </row>
    <row r="13" spans="1:79" ht="16" x14ac:dyDescent="0.2">
      <c r="A13" s="168" t="s">
        <v>134</v>
      </c>
      <c r="B13" s="168" t="s">
        <v>224</v>
      </c>
      <c r="C13" s="168" t="s">
        <v>225</v>
      </c>
      <c r="D13" s="169" t="s">
        <v>73</v>
      </c>
      <c r="E13" s="169" t="s">
        <v>72</v>
      </c>
      <c r="F13" s="169" t="s">
        <v>73</v>
      </c>
      <c r="G13" s="169" t="s">
        <v>73</v>
      </c>
      <c r="H13" s="169"/>
      <c r="I13" s="169"/>
      <c r="N13" s="169"/>
      <c r="O13" s="169"/>
      <c r="P13" s="169"/>
      <c r="Q13" s="169" t="s">
        <v>73</v>
      </c>
      <c r="R13" s="169" t="s">
        <v>73</v>
      </c>
      <c r="S13" s="169" t="s">
        <v>73</v>
      </c>
      <c r="T13" s="79"/>
      <c r="U13" s="79"/>
      <c r="V13" s="1"/>
      <c r="W13" s="1"/>
      <c r="X13" s="1"/>
      <c r="Y13" s="1"/>
      <c r="Z13" s="169" t="s">
        <v>73</v>
      </c>
      <c r="AA13" s="169" t="s">
        <v>73</v>
      </c>
      <c r="AC13" s="1"/>
      <c r="AE13" s="1"/>
      <c r="AF13" s="1"/>
      <c r="AK13" s="169" t="s">
        <v>73</v>
      </c>
      <c r="AL13" s="169" t="s">
        <v>73</v>
      </c>
      <c r="AN13" s="169" t="s">
        <v>73</v>
      </c>
      <c r="AP13" s="169" t="s">
        <v>73</v>
      </c>
      <c r="AR13" s="169" t="s">
        <v>73</v>
      </c>
      <c r="AT13" s="168" t="s">
        <v>73</v>
      </c>
      <c r="AW13" s="1">
        <v>50</v>
      </c>
      <c r="AX13" s="1">
        <v>6</v>
      </c>
      <c r="AY13" s="169" t="s">
        <v>73</v>
      </c>
      <c r="AZ13" s="169" t="s">
        <v>72</v>
      </c>
      <c r="BA13" s="170" t="s">
        <v>73</v>
      </c>
      <c r="BB13" s="169">
        <v>1863</v>
      </c>
      <c r="BC13" s="102">
        <v>45644.607523148145</v>
      </c>
      <c r="BD13" s="87">
        <v>45644.56585648148</v>
      </c>
      <c r="BE13" s="169" t="s">
        <v>73</v>
      </c>
      <c r="BF13" s="169" t="s">
        <v>73</v>
      </c>
      <c r="BG13" s="169" t="s">
        <v>73</v>
      </c>
      <c r="BH13" s="169" t="s">
        <v>73</v>
      </c>
      <c r="BI13" s="169" t="s">
        <v>73</v>
      </c>
      <c r="BJ13" s="169" t="s">
        <v>73</v>
      </c>
      <c r="BK13" s="169"/>
      <c r="BL13" s="169" t="s">
        <v>73</v>
      </c>
      <c r="BM13" s="169" t="s">
        <v>73</v>
      </c>
      <c r="BN13" s="169" t="s">
        <v>73</v>
      </c>
      <c r="BO13" s="169" t="s">
        <v>73</v>
      </c>
      <c r="BP13" s="169" t="s">
        <v>73</v>
      </c>
      <c r="BQ13" s="169" t="s">
        <v>73</v>
      </c>
      <c r="BR13" s="1"/>
      <c r="BS13" s="169" t="s">
        <v>73</v>
      </c>
      <c r="BT13" s="169" t="s">
        <v>73</v>
      </c>
      <c r="BU13" s="169" t="s">
        <v>73</v>
      </c>
      <c r="BV13" s="169" t="s">
        <v>73</v>
      </c>
      <c r="BW13" s="1"/>
      <c r="BX13"/>
      <c r="BY13"/>
    </row>
    <row r="14" spans="1:79" ht="16" x14ac:dyDescent="0.2">
      <c r="A14" s="168" t="s">
        <v>134</v>
      </c>
      <c r="B14" s="168" t="s">
        <v>205</v>
      </c>
      <c r="C14" s="168" t="s">
        <v>206</v>
      </c>
      <c r="D14" s="169" t="s">
        <v>73</v>
      </c>
      <c r="E14" s="169" t="s">
        <v>72</v>
      </c>
      <c r="F14" s="169" t="s">
        <v>73</v>
      </c>
      <c r="G14" s="169" t="s">
        <v>73</v>
      </c>
      <c r="H14" s="169"/>
      <c r="I14" s="169">
        <v>6</v>
      </c>
      <c r="J14">
        <v>6</v>
      </c>
      <c r="L14">
        <v>4</v>
      </c>
      <c r="N14" s="169"/>
      <c r="O14" s="169"/>
      <c r="P14" s="169"/>
      <c r="Q14" s="169" t="s">
        <v>73</v>
      </c>
      <c r="R14" s="169" t="s">
        <v>73</v>
      </c>
      <c r="S14" s="169" t="s">
        <v>73</v>
      </c>
      <c r="T14" s="79"/>
      <c r="U14" s="79"/>
      <c r="V14" s="1"/>
      <c r="W14" s="1"/>
      <c r="X14" s="1"/>
      <c r="Y14" s="1"/>
      <c r="Z14" s="169" t="s">
        <v>73</v>
      </c>
      <c r="AA14" s="169" t="s">
        <v>73</v>
      </c>
      <c r="AC14" s="1"/>
      <c r="AE14" s="1"/>
      <c r="AF14" s="1"/>
      <c r="AK14" s="169" t="s">
        <v>73</v>
      </c>
      <c r="AL14" s="169" t="s">
        <v>72</v>
      </c>
      <c r="AM14">
        <v>6</v>
      </c>
      <c r="AN14" s="169" t="s">
        <v>72</v>
      </c>
      <c r="AO14">
        <v>6</v>
      </c>
      <c r="AP14" s="169" t="s">
        <v>73</v>
      </c>
      <c r="AR14" s="169" t="s">
        <v>72</v>
      </c>
      <c r="AS14">
        <v>6</v>
      </c>
      <c r="AT14" s="168" t="s">
        <v>72</v>
      </c>
      <c r="AU14">
        <v>2</v>
      </c>
      <c r="AW14" s="1">
        <v>100</v>
      </c>
      <c r="AX14" s="1">
        <v>8</v>
      </c>
      <c r="AY14" s="169" t="s">
        <v>72</v>
      </c>
      <c r="AZ14" s="169" t="s">
        <v>72</v>
      </c>
      <c r="BA14" s="170" t="s">
        <v>73</v>
      </c>
      <c r="BB14" s="169">
        <v>1860</v>
      </c>
      <c r="BC14" s="102">
        <v>45644.473587962966</v>
      </c>
      <c r="BD14" s="87">
        <v>45644.431921296295</v>
      </c>
      <c r="BE14" s="169" t="s">
        <v>73</v>
      </c>
      <c r="BF14" s="169" t="s">
        <v>73</v>
      </c>
      <c r="BG14" s="169" t="s">
        <v>73</v>
      </c>
      <c r="BH14" s="169" t="s">
        <v>73</v>
      </c>
      <c r="BI14" s="169" t="s">
        <v>73</v>
      </c>
      <c r="BJ14" s="169" t="s">
        <v>73</v>
      </c>
      <c r="BK14" s="169"/>
      <c r="BL14" s="169" t="s">
        <v>73</v>
      </c>
      <c r="BM14" s="169" t="s">
        <v>73</v>
      </c>
      <c r="BN14" s="169" t="s">
        <v>73</v>
      </c>
      <c r="BO14" s="169" t="s">
        <v>73</v>
      </c>
      <c r="BP14" s="169" t="s">
        <v>73</v>
      </c>
      <c r="BQ14" s="169" t="s">
        <v>73</v>
      </c>
      <c r="BR14" s="1"/>
      <c r="BS14" s="169" t="s">
        <v>73</v>
      </c>
      <c r="BT14" s="169" t="s">
        <v>73</v>
      </c>
      <c r="BU14" s="169" t="s">
        <v>73</v>
      </c>
      <c r="BV14" s="169" t="s">
        <v>73</v>
      </c>
      <c r="BW14" s="1"/>
      <c r="BX14"/>
      <c r="BY14"/>
    </row>
    <row r="15" spans="1:79" ht="16" x14ac:dyDescent="0.2">
      <c r="A15" s="168" t="s">
        <v>134</v>
      </c>
      <c r="B15" s="168" t="s">
        <v>207</v>
      </c>
      <c r="C15" s="168" t="s">
        <v>236</v>
      </c>
      <c r="D15" s="169" t="s">
        <v>73</v>
      </c>
      <c r="E15" s="169" t="s">
        <v>72</v>
      </c>
      <c r="F15" s="169" t="s">
        <v>72</v>
      </c>
      <c r="G15" s="169" t="s">
        <v>73</v>
      </c>
      <c r="H15" s="169"/>
      <c r="I15" s="169">
        <v>7</v>
      </c>
      <c r="N15" s="169"/>
      <c r="O15" s="169"/>
      <c r="P15" s="169"/>
      <c r="Q15" s="169" t="s">
        <v>73</v>
      </c>
      <c r="R15" s="169" t="s">
        <v>73</v>
      </c>
      <c r="S15" s="169" t="s">
        <v>73</v>
      </c>
      <c r="T15" s="79"/>
      <c r="U15" s="79"/>
      <c r="V15" s="1"/>
      <c r="W15" s="1"/>
      <c r="X15" s="1"/>
      <c r="Y15" s="1"/>
      <c r="Z15" s="169" t="s">
        <v>73</v>
      </c>
      <c r="AA15" s="169" t="s">
        <v>73</v>
      </c>
      <c r="AC15" s="1"/>
      <c r="AE15" s="1"/>
      <c r="AF15" s="1"/>
      <c r="AK15" s="169" t="s">
        <v>72</v>
      </c>
      <c r="AL15" s="169" t="s">
        <v>72</v>
      </c>
      <c r="AM15">
        <v>6</v>
      </c>
      <c r="AN15" s="169" t="s">
        <v>72</v>
      </c>
      <c r="AO15">
        <v>6</v>
      </c>
      <c r="AP15" s="169" t="s">
        <v>73</v>
      </c>
      <c r="AR15" s="169" t="s">
        <v>72</v>
      </c>
      <c r="AS15">
        <v>6</v>
      </c>
      <c r="AT15" s="168" t="s">
        <v>73</v>
      </c>
      <c r="AW15" s="1">
        <v>57</v>
      </c>
      <c r="AX15" s="1">
        <v>2</v>
      </c>
      <c r="AY15" s="169" t="s">
        <v>73</v>
      </c>
      <c r="AZ15" s="169" t="s">
        <v>73</v>
      </c>
      <c r="BA15" s="170" t="s">
        <v>73</v>
      </c>
      <c r="BB15" s="169">
        <v>1856</v>
      </c>
      <c r="BC15" s="102">
        <v>45643.504120370373</v>
      </c>
      <c r="BD15" s="87">
        <v>45646.44630787037</v>
      </c>
      <c r="BE15" s="169" t="s">
        <v>73</v>
      </c>
      <c r="BF15" s="169" t="s">
        <v>73</v>
      </c>
      <c r="BG15" s="169" t="s">
        <v>73</v>
      </c>
      <c r="BH15" s="169" t="s">
        <v>73</v>
      </c>
      <c r="BI15" s="169" t="s">
        <v>73</v>
      </c>
      <c r="BJ15" s="169" t="s">
        <v>73</v>
      </c>
      <c r="BK15" s="169"/>
      <c r="BL15" s="169" t="s">
        <v>73</v>
      </c>
      <c r="BM15" s="169" t="s">
        <v>73</v>
      </c>
      <c r="BN15" s="169" t="s">
        <v>73</v>
      </c>
      <c r="BO15" s="169" t="s">
        <v>73</v>
      </c>
      <c r="BP15" s="169" t="s">
        <v>73</v>
      </c>
      <c r="BQ15" s="169" t="s">
        <v>73</v>
      </c>
      <c r="BR15" s="1"/>
      <c r="BS15" s="169" t="s">
        <v>73</v>
      </c>
      <c r="BT15" s="169" t="s">
        <v>73</v>
      </c>
      <c r="BU15" s="169" t="s">
        <v>73</v>
      </c>
      <c r="BV15" s="169" t="s">
        <v>73</v>
      </c>
      <c r="BW15" s="1"/>
      <c r="BX15"/>
      <c r="BY15"/>
    </row>
    <row r="16" spans="1:79" ht="16" x14ac:dyDescent="0.2">
      <c r="A16" s="168" t="s">
        <v>134</v>
      </c>
      <c r="B16" s="168" t="s">
        <v>208</v>
      </c>
      <c r="C16" s="168" t="s">
        <v>209</v>
      </c>
      <c r="D16" s="169" t="s">
        <v>73</v>
      </c>
      <c r="E16" s="169" t="s">
        <v>72</v>
      </c>
      <c r="F16" s="169" t="s">
        <v>72</v>
      </c>
      <c r="G16" s="169" t="s">
        <v>73</v>
      </c>
      <c r="H16" s="169"/>
      <c r="I16" s="169">
        <v>8</v>
      </c>
      <c r="J16">
        <v>10</v>
      </c>
      <c r="L16">
        <v>4</v>
      </c>
      <c r="M16">
        <v>4</v>
      </c>
      <c r="N16" s="169"/>
      <c r="O16" s="169"/>
      <c r="P16" s="169"/>
      <c r="Q16" s="169" t="s">
        <v>73</v>
      </c>
      <c r="R16" s="169" t="s">
        <v>73</v>
      </c>
      <c r="S16" s="169" t="s">
        <v>73</v>
      </c>
      <c r="T16" s="79"/>
      <c r="U16" s="79"/>
      <c r="V16" s="1"/>
      <c r="W16" s="1"/>
      <c r="X16" s="1"/>
      <c r="Y16" s="1"/>
      <c r="Z16" s="169" t="s">
        <v>73</v>
      </c>
      <c r="AA16" s="169" t="s">
        <v>73</v>
      </c>
      <c r="AC16" s="1"/>
      <c r="AE16" s="1"/>
      <c r="AF16" s="1"/>
      <c r="AK16" s="169" t="s">
        <v>73</v>
      </c>
      <c r="AL16" s="169" t="s">
        <v>72</v>
      </c>
      <c r="AM16">
        <v>6</v>
      </c>
      <c r="AN16" s="169" t="s">
        <v>72</v>
      </c>
      <c r="AO16">
        <v>6</v>
      </c>
      <c r="AP16" s="169" t="s">
        <v>73</v>
      </c>
      <c r="AR16" s="169" t="s">
        <v>72</v>
      </c>
      <c r="AS16">
        <v>6</v>
      </c>
      <c r="AT16" s="168" t="s">
        <v>73</v>
      </c>
      <c r="AW16" s="1">
        <v>60</v>
      </c>
      <c r="AX16" s="1">
        <v>18</v>
      </c>
      <c r="AY16" s="169" t="s">
        <v>73</v>
      </c>
      <c r="AZ16" s="169" t="s">
        <v>73</v>
      </c>
      <c r="BA16" s="170" t="s">
        <v>73</v>
      </c>
      <c r="BB16" s="169">
        <v>1850</v>
      </c>
      <c r="BC16" s="102">
        <v>45642.834224537037</v>
      </c>
      <c r="BD16" s="87">
        <v>45642.792557870373</v>
      </c>
      <c r="BE16" s="169" t="s">
        <v>73</v>
      </c>
      <c r="BF16" s="169" t="s">
        <v>73</v>
      </c>
      <c r="BG16" s="169" t="s">
        <v>73</v>
      </c>
      <c r="BH16" s="169" t="s">
        <v>73</v>
      </c>
      <c r="BI16" s="169" t="s">
        <v>73</v>
      </c>
      <c r="BJ16" s="169" t="s">
        <v>73</v>
      </c>
      <c r="BK16" s="169"/>
      <c r="BL16" s="169" t="s">
        <v>73</v>
      </c>
      <c r="BM16" s="169" t="s">
        <v>73</v>
      </c>
      <c r="BN16" s="169" t="s">
        <v>73</v>
      </c>
      <c r="BO16" s="169" t="s">
        <v>73</v>
      </c>
      <c r="BP16" s="169" t="s">
        <v>73</v>
      </c>
      <c r="BQ16" s="169" t="s">
        <v>73</v>
      </c>
      <c r="BR16" s="1"/>
      <c r="BS16" s="169" t="s">
        <v>73</v>
      </c>
      <c r="BT16" s="169" t="s">
        <v>73</v>
      </c>
      <c r="BU16" s="169" t="s">
        <v>73</v>
      </c>
      <c r="BV16" s="169" t="s">
        <v>73</v>
      </c>
      <c r="BW16" s="1"/>
      <c r="BX16"/>
      <c r="BY16"/>
    </row>
    <row r="17" spans="1:77" ht="16" x14ac:dyDescent="0.2">
      <c r="A17" s="168" t="s">
        <v>134</v>
      </c>
      <c r="B17" s="168" t="s">
        <v>210</v>
      </c>
      <c r="C17" s="168" t="s">
        <v>211</v>
      </c>
      <c r="D17" s="169" t="s">
        <v>73</v>
      </c>
      <c r="E17" s="169" t="s">
        <v>72</v>
      </c>
      <c r="F17" s="169" t="s">
        <v>72</v>
      </c>
      <c r="G17" s="169" t="s">
        <v>73</v>
      </c>
      <c r="H17" s="169"/>
      <c r="I17" s="169">
        <v>5</v>
      </c>
      <c r="J17">
        <v>3</v>
      </c>
      <c r="N17" s="169">
        <v>4</v>
      </c>
      <c r="O17" s="169"/>
      <c r="P17" s="169"/>
      <c r="Q17" s="169" t="s">
        <v>73</v>
      </c>
      <c r="R17" s="169" t="s">
        <v>73</v>
      </c>
      <c r="S17" s="169" t="s">
        <v>73</v>
      </c>
      <c r="T17" s="79">
        <v>3</v>
      </c>
      <c r="U17" s="79">
        <v>1</v>
      </c>
      <c r="V17" s="1"/>
      <c r="W17" s="1">
        <v>3</v>
      </c>
      <c r="X17" s="1">
        <v>1</v>
      </c>
      <c r="Y17" s="1"/>
      <c r="Z17" s="169" t="s">
        <v>73</v>
      </c>
      <c r="AA17" s="169" t="s">
        <v>73</v>
      </c>
      <c r="AC17" s="1"/>
      <c r="AE17" s="1"/>
      <c r="AF17" s="1"/>
      <c r="AK17" s="169" t="s">
        <v>72</v>
      </c>
      <c r="AL17" s="169" t="s">
        <v>73</v>
      </c>
      <c r="AN17" s="169" t="s">
        <v>73</v>
      </c>
      <c r="AP17" s="169" t="s">
        <v>73</v>
      </c>
      <c r="AR17" s="169" t="s">
        <v>73</v>
      </c>
      <c r="AT17" s="168" t="s">
        <v>73</v>
      </c>
      <c r="AW17" s="1">
        <v>32</v>
      </c>
      <c r="AX17" s="1">
        <v>7</v>
      </c>
      <c r="AY17" s="169" t="s">
        <v>73</v>
      </c>
      <c r="AZ17" s="169" t="s">
        <v>73</v>
      </c>
      <c r="BA17" s="170" t="s">
        <v>73</v>
      </c>
      <c r="BB17" s="169">
        <v>1846</v>
      </c>
      <c r="BC17" s="102">
        <v>45642.806666666664</v>
      </c>
      <c r="BD17" s="87">
        <v>45642.764999999999</v>
      </c>
      <c r="BE17" s="169" t="s">
        <v>73</v>
      </c>
      <c r="BF17" s="169" t="s">
        <v>73</v>
      </c>
      <c r="BG17" s="169" t="s">
        <v>73</v>
      </c>
      <c r="BH17" s="169" t="s">
        <v>73</v>
      </c>
      <c r="BI17" s="169" t="s">
        <v>73</v>
      </c>
      <c r="BJ17" s="169" t="s">
        <v>73</v>
      </c>
      <c r="BK17" s="169"/>
      <c r="BL17" s="169" t="s">
        <v>73</v>
      </c>
      <c r="BM17" s="169" t="s">
        <v>73</v>
      </c>
      <c r="BN17" s="169" t="s">
        <v>73</v>
      </c>
      <c r="BO17" s="169" t="s">
        <v>73</v>
      </c>
      <c r="BP17" s="169" t="s">
        <v>73</v>
      </c>
      <c r="BQ17" s="169" t="s">
        <v>73</v>
      </c>
      <c r="BR17" s="1"/>
      <c r="BS17" s="169" t="s">
        <v>73</v>
      </c>
      <c r="BT17" s="169" t="s">
        <v>73</v>
      </c>
      <c r="BU17" s="169" t="s">
        <v>73</v>
      </c>
      <c r="BV17" s="169" t="s">
        <v>73</v>
      </c>
      <c r="BW17" s="1"/>
      <c r="BX17"/>
      <c r="BY17"/>
    </row>
    <row r="18" spans="1:77" s="32" customFormat="1" ht="16" x14ac:dyDescent="0.2">
      <c r="A18" s="168" t="s">
        <v>134</v>
      </c>
      <c r="B18" s="168" t="s">
        <v>203</v>
      </c>
      <c r="C18" s="168" t="s">
        <v>204</v>
      </c>
      <c r="D18" s="169" t="s">
        <v>73</v>
      </c>
      <c r="E18" s="169" t="s">
        <v>73</v>
      </c>
      <c r="F18" s="169" t="s">
        <v>73</v>
      </c>
      <c r="G18" s="169" t="s">
        <v>73</v>
      </c>
      <c r="H18" s="169"/>
      <c r="I18" s="169"/>
      <c r="J18"/>
      <c r="K18"/>
      <c r="L18"/>
      <c r="M18"/>
      <c r="N18" s="169"/>
      <c r="O18" s="169"/>
      <c r="P18" s="169"/>
      <c r="Q18" s="169" t="s">
        <v>73</v>
      </c>
      <c r="R18" s="169" t="s">
        <v>73</v>
      </c>
      <c r="S18" s="169" t="s">
        <v>73</v>
      </c>
      <c r="T18" s="79"/>
      <c r="U18" s="79"/>
      <c r="V18" s="1"/>
      <c r="W18" s="1"/>
      <c r="X18" s="1"/>
      <c r="Y18" s="1"/>
      <c r="Z18" s="169" t="s">
        <v>73</v>
      </c>
      <c r="AA18" s="169" t="s">
        <v>73</v>
      </c>
      <c r="AB18"/>
      <c r="AC18" s="1"/>
      <c r="AD18"/>
      <c r="AE18" s="1"/>
      <c r="AF18" s="1"/>
      <c r="AG18"/>
      <c r="AH18"/>
      <c r="AI18"/>
      <c r="AJ18"/>
      <c r="AK18" s="169" t="s">
        <v>73</v>
      </c>
      <c r="AL18" s="169" t="s">
        <v>73</v>
      </c>
      <c r="AM18"/>
      <c r="AN18" s="169" t="s">
        <v>73</v>
      </c>
      <c r="AO18"/>
      <c r="AP18" s="169" t="s">
        <v>73</v>
      </c>
      <c r="AQ18"/>
      <c r="AR18" s="169" t="s">
        <v>73</v>
      </c>
      <c r="AS18"/>
      <c r="AT18" s="168" t="s">
        <v>73</v>
      </c>
      <c r="AU18"/>
      <c r="AV18"/>
      <c r="AW18" s="1">
        <v>30</v>
      </c>
      <c r="AX18" s="1">
        <v>2</v>
      </c>
      <c r="AY18" s="169" t="s">
        <v>72</v>
      </c>
      <c r="AZ18" s="169" t="s">
        <v>73</v>
      </c>
      <c r="BA18" s="170" t="s">
        <v>73</v>
      </c>
      <c r="BB18" s="169">
        <v>1843</v>
      </c>
      <c r="BC18" s="102">
        <v>45642.664270833331</v>
      </c>
      <c r="BD18" s="87">
        <v>45642.632361111115</v>
      </c>
      <c r="BE18" s="169" t="s">
        <v>73</v>
      </c>
      <c r="BF18" s="169" t="s">
        <v>73</v>
      </c>
      <c r="BG18" s="169" t="s">
        <v>73</v>
      </c>
      <c r="BH18" s="169" t="s">
        <v>73</v>
      </c>
      <c r="BI18" s="169" t="s">
        <v>73</v>
      </c>
      <c r="BJ18" s="169" t="s">
        <v>73</v>
      </c>
      <c r="BK18" s="169"/>
      <c r="BL18" s="169" t="s">
        <v>73</v>
      </c>
      <c r="BM18" s="169" t="s">
        <v>73</v>
      </c>
      <c r="BN18" s="169" t="s">
        <v>73</v>
      </c>
      <c r="BO18" s="169" t="s">
        <v>73</v>
      </c>
      <c r="BP18" s="169" t="s">
        <v>73</v>
      </c>
      <c r="BQ18" s="169" t="s">
        <v>73</v>
      </c>
      <c r="BR18" s="1"/>
      <c r="BS18" s="169" t="s">
        <v>73</v>
      </c>
      <c r="BT18" s="169" t="s">
        <v>73</v>
      </c>
      <c r="BU18" s="169" t="s">
        <v>73</v>
      </c>
      <c r="BV18" s="169" t="s">
        <v>73</v>
      </c>
      <c r="BW18" s="1"/>
    </row>
    <row r="19" spans="1:77" ht="16" x14ac:dyDescent="0.2">
      <c r="A19" s="168" t="s">
        <v>134</v>
      </c>
      <c r="B19" s="168" t="s">
        <v>192</v>
      </c>
      <c r="C19" s="168" t="s">
        <v>193</v>
      </c>
      <c r="D19" s="169" t="s">
        <v>73</v>
      </c>
      <c r="E19" s="169" t="s">
        <v>72</v>
      </c>
      <c r="F19" s="169" t="s">
        <v>72</v>
      </c>
      <c r="G19" s="169" t="s">
        <v>73</v>
      </c>
      <c r="H19" s="169"/>
      <c r="I19" s="169">
        <v>8</v>
      </c>
      <c r="N19" s="169"/>
      <c r="O19" s="169"/>
      <c r="P19" s="169"/>
      <c r="Q19" s="169" t="s">
        <v>73</v>
      </c>
      <c r="R19" s="169" t="s">
        <v>73</v>
      </c>
      <c r="S19" s="169" t="s">
        <v>73</v>
      </c>
      <c r="T19" s="79"/>
      <c r="U19" s="79"/>
      <c r="V19" s="1"/>
      <c r="W19" s="1"/>
      <c r="X19" s="1"/>
      <c r="Y19" s="1"/>
      <c r="Z19" s="169" t="s">
        <v>73</v>
      </c>
      <c r="AA19" s="169" t="s">
        <v>73</v>
      </c>
      <c r="AC19" s="1">
        <v>3</v>
      </c>
      <c r="AE19" s="1"/>
      <c r="AF19" s="1"/>
      <c r="AG19">
        <v>3</v>
      </c>
      <c r="AK19" s="169" t="s">
        <v>72</v>
      </c>
      <c r="AL19" s="169" t="s">
        <v>72</v>
      </c>
      <c r="AM19">
        <v>6</v>
      </c>
      <c r="AN19" s="169" t="s">
        <v>72</v>
      </c>
      <c r="AO19">
        <v>4</v>
      </c>
      <c r="AP19" s="169" t="s">
        <v>73</v>
      </c>
      <c r="AR19" s="169" t="s">
        <v>72</v>
      </c>
      <c r="AS19">
        <v>6</v>
      </c>
      <c r="AT19" s="168" t="s">
        <v>73</v>
      </c>
      <c r="AW19" s="1">
        <v>60</v>
      </c>
      <c r="AX19" s="1">
        <v>1</v>
      </c>
      <c r="AY19" s="169" t="s">
        <v>72</v>
      </c>
      <c r="AZ19" s="169" t="s">
        <v>72</v>
      </c>
      <c r="BA19" s="170" t="s">
        <v>73</v>
      </c>
      <c r="BB19" s="169">
        <v>1840</v>
      </c>
      <c r="BC19" s="102">
        <v>45641.723495370374</v>
      </c>
      <c r="BD19" s="87">
        <v>45641.681828703702</v>
      </c>
      <c r="BE19" s="169" t="s">
        <v>73</v>
      </c>
      <c r="BF19" s="169" t="s">
        <v>73</v>
      </c>
      <c r="BG19" s="169" t="s">
        <v>73</v>
      </c>
      <c r="BH19" s="169" t="s">
        <v>73</v>
      </c>
      <c r="BI19" s="169" t="s">
        <v>73</v>
      </c>
      <c r="BJ19" s="169" t="s">
        <v>73</v>
      </c>
      <c r="BK19" s="169"/>
      <c r="BL19" s="169" t="s">
        <v>73</v>
      </c>
      <c r="BM19" s="169" t="s">
        <v>73</v>
      </c>
      <c r="BN19" s="169" t="s">
        <v>73</v>
      </c>
      <c r="BO19" s="169" t="s">
        <v>73</v>
      </c>
      <c r="BP19" s="169" t="s">
        <v>73</v>
      </c>
      <c r="BQ19" s="169" t="s">
        <v>73</v>
      </c>
      <c r="BR19" s="1"/>
      <c r="BS19" s="169" t="s">
        <v>73</v>
      </c>
      <c r="BT19" s="169" t="s">
        <v>73</v>
      </c>
      <c r="BU19" s="169" t="s">
        <v>73</v>
      </c>
      <c r="BV19" s="169" t="s">
        <v>73</v>
      </c>
      <c r="BW19" s="1"/>
      <c r="BX19"/>
      <c r="BY19"/>
    </row>
    <row r="20" spans="1:77" ht="112" x14ac:dyDescent="0.2">
      <c r="A20" s="168" t="s">
        <v>134</v>
      </c>
      <c r="B20" s="168" t="s">
        <v>174</v>
      </c>
      <c r="C20" s="168" t="s">
        <v>130</v>
      </c>
      <c r="D20" s="169" t="s">
        <v>73</v>
      </c>
      <c r="E20" s="169" t="s">
        <v>72</v>
      </c>
      <c r="F20" s="169" t="s">
        <v>73</v>
      </c>
      <c r="G20" s="169" t="s">
        <v>73</v>
      </c>
      <c r="H20" s="169"/>
      <c r="I20" s="169">
        <v>4</v>
      </c>
      <c r="N20" s="169"/>
      <c r="O20" s="169"/>
      <c r="P20" s="169"/>
      <c r="Q20" s="169" t="s">
        <v>73</v>
      </c>
      <c r="R20" s="169" t="s">
        <v>73</v>
      </c>
      <c r="S20" s="169" t="s">
        <v>73</v>
      </c>
      <c r="T20" s="79"/>
      <c r="U20" s="79"/>
      <c r="V20" s="1"/>
      <c r="W20" s="1"/>
      <c r="X20" s="1"/>
      <c r="Y20" s="1"/>
      <c r="Z20" s="169" t="s">
        <v>73</v>
      </c>
      <c r="AA20" s="169" t="s">
        <v>73</v>
      </c>
      <c r="AC20" s="1"/>
      <c r="AE20" s="1"/>
      <c r="AF20" s="1"/>
      <c r="AK20" s="169" t="s">
        <v>73</v>
      </c>
      <c r="AL20" s="169" t="s">
        <v>72</v>
      </c>
      <c r="AM20">
        <v>4</v>
      </c>
      <c r="AN20" s="169" t="s">
        <v>72</v>
      </c>
      <c r="AO20">
        <v>4</v>
      </c>
      <c r="AP20" s="169" t="s">
        <v>73</v>
      </c>
      <c r="AR20" s="169" t="s">
        <v>73</v>
      </c>
      <c r="AT20" s="168" t="s">
        <v>73</v>
      </c>
      <c r="AW20" s="1">
        <v>50</v>
      </c>
      <c r="AX20" s="1">
        <v>0</v>
      </c>
      <c r="AY20" s="169" t="s">
        <v>73</v>
      </c>
      <c r="AZ20" s="169" t="s">
        <v>73</v>
      </c>
      <c r="BA20" s="170" t="s">
        <v>131</v>
      </c>
      <c r="BB20" s="169">
        <v>1809</v>
      </c>
      <c r="BC20" s="102">
        <v>45628.780671296299</v>
      </c>
      <c r="BD20" s="87">
        <v>45631.711145833331</v>
      </c>
      <c r="BE20" s="169" t="s">
        <v>73</v>
      </c>
      <c r="BF20" s="169" t="s">
        <v>73</v>
      </c>
      <c r="BG20" s="169" t="s">
        <v>73</v>
      </c>
      <c r="BH20" s="169" t="s">
        <v>73</v>
      </c>
      <c r="BI20" s="169" t="s">
        <v>73</v>
      </c>
      <c r="BJ20" s="169" t="s">
        <v>73</v>
      </c>
      <c r="BK20" s="169"/>
      <c r="BL20" s="169" t="s">
        <v>73</v>
      </c>
      <c r="BM20" s="169" t="s">
        <v>73</v>
      </c>
      <c r="BN20" s="169" t="s">
        <v>73</v>
      </c>
      <c r="BO20" s="169" t="s">
        <v>73</v>
      </c>
      <c r="BP20" s="169" t="s">
        <v>73</v>
      </c>
      <c r="BQ20" s="169" t="s">
        <v>73</v>
      </c>
      <c r="BR20" s="1"/>
      <c r="BS20" s="169" t="s">
        <v>73</v>
      </c>
      <c r="BT20" s="169" t="s">
        <v>73</v>
      </c>
      <c r="BU20" s="169" t="s">
        <v>73</v>
      </c>
      <c r="BV20" s="169" t="s">
        <v>73</v>
      </c>
      <c r="BW20" s="1"/>
      <c r="BX20"/>
      <c r="BY20"/>
    </row>
    <row r="21" spans="1:77" ht="176" x14ac:dyDescent="0.2">
      <c r="A21" s="168" t="s">
        <v>135</v>
      </c>
      <c r="B21" s="168" t="s">
        <v>241</v>
      </c>
      <c r="C21" s="168" t="s">
        <v>242</v>
      </c>
      <c r="D21" s="169" t="s">
        <v>73</v>
      </c>
      <c r="E21" s="169" t="s">
        <v>72</v>
      </c>
      <c r="F21" s="169" t="s">
        <v>72</v>
      </c>
      <c r="G21" s="169" t="s">
        <v>73</v>
      </c>
      <c r="H21" s="169" t="s">
        <v>72</v>
      </c>
      <c r="I21" s="169">
        <v>6</v>
      </c>
      <c r="J21">
        <v>3</v>
      </c>
      <c r="N21" s="169"/>
      <c r="O21" s="169"/>
      <c r="P21" s="169"/>
      <c r="Q21" s="169" t="s">
        <v>73</v>
      </c>
      <c r="R21" s="169" t="s">
        <v>73</v>
      </c>
      <c r="S21" s="169" t="s">
        <v>73</v>
      </c>
      <c r="T21" s="79">
        <v>1</v>
      </c>
      <c r="U21" s="79"/>
      <c r="V21" s="1"/>
      <c r="W21" s="1">
        <v>1</v>
      </c>
      <c r="X21" s="1"/>
      <c r="Y21" s="1"/>
      <c r="Z21" s="169" t="s">
        <v>73</v>
      </c>
      <c r="AA21" s="169" t="s">
        <v>73</v>
      </c>
      <c r="AC21" s="1"/>
      <c r="AE21" s="1"/>
      <c r="AF21" s="1"/>
      <c r="AK21" s="169" t="s">
        <v>73</v>
      </c>
      <c r="AL21" s="169" t="s">
        <v>72</v>
      </c>
      <c r="AM21">
        <v>6</v>
      </c>
      <c r="AN21" s="169" t="s">
        <v>72</v>
      </c>
      <c r="AO21">
        <v>6</v>
      </c>
      <c r="AP21" s="169" t="s">
        <v>73</v>
      </c>
      <c r="AR21" s="169" t="s">
        <v>72</v>
      </c>
      <c r="AS21">
        <v>6</v>
      </c>
      <c r="AT21" s="168" t="s">
        <v>72</v>
      </c>
      <c r="AU21">
        <v>4</v>
      </c>
      <c r="AW21" s="1">
        <v>46</v>
      </c>
      <c r="AX21" s="1">
        <v>18</v>
      </c>
      <c r="AY21" s="169" t="s">
        <v>73</v>
      </c>
      <c r="AZ21" s="169" t="s">
        <v>73</v>
      </c>
      <c r="BA21" s="170" t="s">
        <v>243</v>
      </c>
      <c r="BB21" s="169">
        <v>1885</v>
      </c>
      <c r="BC21" s="102">
        <v>45647.553773148145</v>
      </c>
      <c r="BD21" s="87">
        <v>45647.512106481481</v>
      </c>
      <c r="BE21" s="169" t="s">
        <v>73</v>
      </c>
      <c r="BF21" s="169" t="s">
        <v>73</v>
      </c>
      <c r="BG21" s="169" t="s">
        <v>73</v>
      </c>
      <c r="BH21" s="169" t="s">
        <v>73</v>
      </c>
      <c r="BI21" s="169" t="s">
        <v>73</v>
      </c>
      <c r="BJ21" s="169" t="s">
        <v>73</v>
      </c>
      <c r="BK21" s="169"/>
      <c r="BL21" s="169" t="s">
        <v>73</v>
      </c>
      <c r="BM21" s="169" t="s">
        <v>73</v>
      </c>
      <c r="BN21" s="169" t="s">
        <v>73</v>
      </c>
      <c r="BO21" s="169" t="s">
        <v>73</v>
      </c>
      <c r="BP21" s="169" t="s">
        <v>73</v>
      </c>
      <c r="BQ21" s="169" t="s">
        <v>73</v>
      </c>
      <c r="BR21" s="1"/>
      <c r="BS21" s="169" t="s">
        <v>73</v>
      </c>
      <c r="BT21" s="169" t="s">
        <v>73</v>
      </c>
      <c r="BU21" s="169" t="s">
        <v>73</v>
      </c>
      <c r="BV21" s="169" t="s">
        <v>73</v>
      </c>
      <c r="BW21" s="1"/>
      <c r="BX21"/>
      <c r="BY21"/>
    </row>
    <row r="22" spans="1:77" ht="16" x14ac:dyDescent="0.2">
      <c r="A22" s="168" t="s">
        <v>135</v>
      </c>
      <c r="B22" s="168" t="s">
        <v>244</v>
      </c>
      <c r="C22" s="168" t="s">
        <v>245</v>
      </c>
      <c r="D22" s="169" t="s">
        <v>73</v>
      </c>
      <c r="E22" s="169" t="s">
        <v>72</v>
      </c>
      <c r="F22" s="169" t="s">
        <v>72</v>
      </c>
      <c r="G22" s="169" t="s">
        <v>73</v>
      </c>
      <c r="H22" s="169"/>
      <c r="I22" s="169">
        <v>7</v>
      </c>
      <c r="N22" s="169"/>
      <c r="O22" s="169"/>
      <c r="P22" s="169"/>
      <c r="Q22" s="169" t="s">
        <v>73</v>
      </c>
      <c r="R22" s="169" t="s">
        <v>73</v>
      </c>
      <c r="S22" s="169" t="s">
        <v>73</v>
      </c>
      <c r="T22" s="79">
        <v>2</v>
      </c>
      <c r="U22" s="79"/>
      <c r="V22" s="1"/>
      <c r="W22" s="1">
        <v>2</v>
      </c>
      <c r="X22" s="1"/>
      <c r="Y22" s="1"/>
      <c r="Z22" s="169" t="s">
        <v>72</v>
      </c>
      <c r="AA22" s="169" t="s">
        <v>73</v>
      </c>
      <c r="AC22" s="1">
        <v>2</v>
      </c>
      <c r="AE22" s="1"/>
      <c r="AF22" s="1"/>
      <c r="AG22">
        <v>2</v>
      </c>
      <c r="AK22" s="169" t="s">
        <v>73</v>
      </c>
      <c r="AL22" s="169" t="s">
        <v>72</v>
      </c>
      <c r="AM22">
        <v>6</v>
      </c>
      <c r="AN22" s="169" t="s">
        <v>72</v>
      </c>
      <c r="AO22">
        <v>6</v>
      </c>
      <c r="AP22" s="169" t="s">
        <v>73</v>
      </c>
      <c r="AR22" s="169" t="s">
        <v>72</v>
      </c>
      <c r="AS22">
        <v>6</v>
      </c>
      <c r="AT22" s="168" t="s">
        <v>72</v>
      </c>
      <c r="AU22">
        <v>1</v>
      </c>
      <c r="AW22" s="1">
        <v>75</v>
      </c>
      <c r="AX22" s="1">
        <v>5</v>
      </c>
      <c r="AY22" s="169" t="s">
        <v>73</v>
      </c>
      <c r="AZ22" s="169" t="s">
        <v>73</v>
      </c>
      <c r="BA22" s="170" t="s">
        <v>73</v>
      </c>
      <c r="BB22" s="169">
        <v>1880</v>
      </c>
      <c r="BC22" s="102">
        <v>45647.421400462961</v>
      </c>
      <c r="BD22" s="87">
        <v>45647.441203703704</v>
      </c>
      <c r="BE22" s="169" t="s">
        <v>245</v>
      </c>
      <c r="BF22" s="169" t="s">
        <v>78</v>
      </c>
      <c r="BG22" s="169" t="s">
        <v>215</v>
      </c>
      <c r="BH22" s="169" t="s">
        <v>162</v>
      </c>
      <c r="BI22" s="169" t="s">
        <v>246</v>
      </c>
      <c r="BJ22" s="169" t="s">
        <v>246</v>
      </c>
      <c r="BK22" s="169">
        <v>35</v>
      </c>
      <c r="BL22" s="169" t="s">
        <v>73</v>
      </c>
      <c r="BM22" s="169" t="s">
        <v>73</v>
      </c>
      <c r="BN22" s="169" t="s">
        <v>73</v>
      </c>
      <c r="BO22" s="169" t="s">
        <v>73</v>
      </c>
      <c r="BP22" s="169" t="s">
        <v>73</v>
      </c>
      <c r="BQ22" s="169" t="s">
        <v>73</v>
      </c>
      <c r="BR22" s="1"/>
      <c r="BS22" s="169" t="s">
        <v>73</v>
      </c>
      <c r="BT22" s="169" t="s">
        <v>73</v>
      </c>
      <c r="BU22" s="169" t="s">
        <v>73</v>
      </c>
      <c r="BV22" s="169" t="s">
        <v>73</v>
      </c>
      <c r="BW22" s="1"/>
      <c r="BX22"/>
      <c r="BY22"/>
    </row>
    <row r="23" spans="1:77" ht="16" x14ac:dyDescent="0.2">
      <c r="A23" s="168" t="s">
        <v>135</v>
      </c>
      <c r="B23" s="168" t="s">
        <v>237</v>
      </c>
      <c r="C23" s="168" t="s">
        <v>238</v>
      </c>
      <c r="D23" s="169" t="s">
        <v>73</v>
      </c>
      <c r="E23" s="169" t="s">
        <v>72</v>
      </c>
      <c r="F23" s="169" t="s">
        <v>72</v>
      </c>
      <c r="G23" s="169" t="s">
        <v>73</v>
      </c>
      <c r="H23" s="169"/>
      <c r="I23" s="169">
        <v>4</v>
      </c>
      <c r="N23" s="169"/>
      <c r="O23" s="169"/>
      <c r="P23" s="169"/>
      <c r="Q23" s="169" t="s">
        <v>73</v>
      </c>
      <c r="R23" s="169" t="s">
        <v>73</v>
      </c>
      <c r="S23" s="169" t="s">
        <v>73</v>
      </c>
      <c r="T23" s="79"/>
      <c r="U23" s="79"/>
      <c r="V23" s="1"/>
      <c r="W23" s="1"/>
      <c r="X23" s="1"/>
      <c r="Y23" s="1"/>
      <c r="Z23" s="169" t="s">
        <v>73</v>
      </c>
      <c r="AA23" s="169" t="s">
        <v>73</v>
      </c>
      <c r="AC23" s="1"/>
      <c r="AD23">
        <v>1</v>
      </c>
      <c r="AE23" s="1"/>
      <c r="AF23" s="1"/>
      <c r="AH23">
        <v>1</v>
      </c>
      <c r="AK23" s="169" t="s">
        <v>73</v>
      </c>
      <c r="AL23" s="169" t="s">
        <v>72</v>
      </c>
      <c r="AM23">
        <v>6</v>
      </c>
      <c r="AN23" s="169" t="s">
        <v>72</v>
      </c>
      <c r="AO23">
        <v>6</v>
      </c>
      <c r="AP23" s="169" t="s">
        <v>72</v>
      </c>
      <c r="AQ23">
        <v>6</v>
      </c>
      <c r="AR23" s="169" t="s">
        <v>72</v>
      </c>
      <c r="AS23">
        <v>6</v>
      </c>
      <c r="AT23" s="168" t="s">
        <v>73</v>
      </c>
      <c r="AW23" s="1">
        <v>6</v>
      </c>
      <c r="AX23" s="1">
        <v>0</v>
      </c>
      <c r="AY23" s="169" t="s">
        <v>73</v>
      </c>
      <c r="AZ23" s="169" t="s">
        <v>73</v>
      </c>
      <c r="BA23" s="170" t="s">
        <v>73</v>
      </c>
      <c r="BB23" s="169">
        <v>1869</v>
      </c>
      <c r="BC23" s="102">
        <v>45645.398530092592</v>
      </c>
      <c r="BD23" s="87">
        <v>45645.356863425928</v>
      </c>
      <c r="BE23" s="169" t="s">
        <v>73</v>
      </c>
      <c r="BF23" s="169" t="s">
        <v>73</v>
      </c>
      <c r="BG23" s="169" t="s">
        <v>73</v>
      </c>
      <c r="BH23" s="169" t="s">
        <v>73</v>
      </c>
      <c r="BI23" s="169" t="s">
        <v>73</v>
      </c>
      <c r="BJ23" s="169" t="s">
        <v>73</v>
      </c>
      <c r="BK23" s="169"/>
      <c r="BL23" s="169" t="s">
        <v>73</v>
      </c>
      <c r="BM23" s="169" t="s">
        <v>73</v>
      </c>
      <c r="BN23" s="169" t="s">
        <v>73</v>
      </c>
      <c r="BO23" s="169" t="s">
        <v>73</v>
      </c>
      <c r="BP23" s="169" t="s">
        <v>73</v>
      </c>
      <c r="BQ23" s="169" t="s">
        <v>73</v>
      </c>
      <c r="BR23" s="1"/>
      <c r="BS23" s="169" t="s">
        <v>73</v>
      </c>
      <c r="BT23" s="169" t="s">
        <v>73</v>
      </c>
      <c r="BU23" s="169" t="s">
        <v>73</v>
      </c>
      <c r="BV23" s="169" t="s">
        <v>73</v>
      </c>
      <c r="BW23" s="1"/>
      <c r="BX23"/>
      <c r="BY23"/>
    </row>
    <row r="24" spans="1:77" ht="16" x14ac:dyDescent="0.2">
      <c r="A24" s="168" t="s">
        <v>135</v>
      </c>
      <c r="B24" s="168" t="s">
        <v>228</v>
      </c>
      <c r="C24" s="168" t="s">
        <v>229</v>
      </c>
      <c r="D24" s="169" t="s">
        <v>73</v>
      </c>
      <c r="E24" s="169" t="s">
        <v>72</v>
      </c>
      <c r="F24" s="169" t="s">
        <v>72</v>
      </c>
      <c r="G24" s="169" t="s">
        <v>73</v>
      </c>
      <c r="H24" s="169"/>
      <c r="I24" s="169">
        <v>6</v>
      </c>
      <c r="N24" s="169"/>
      <c r="O24" s="169"/>
      <c r="P24" s="169"/>
      <c r="Q24" s="169" t="s">
        <v>73</v>
      </c>
      <c r="R24" s="169" t="s">
        <v>73</v>
      </c>
      <c r="S24" s="169" t="s">
        <v>73</v>
      </c>
      <c r="T24" s="79"/>
      <c r="U24" s="79"/>
      <c r="V24" s="1"/>
      <c r="W24" s="1"/>
      <c r="X24" s="1"/>
      <c r="Y24" s="1"/>
      <c r="Z24" s="169" t="s">
        <v>73</v>
      </c>
      <c r="AA24" s="169" t="s">
        <v>73</v>
      </c>
      <c r="AC24" s="1">
        <v>5</v>
      </c>
      <c r="AE24" s="1"/>
      <c r="AF24" s="1"/>
      <c r="AG24">
        <v>5</v>
      </c>
      <c r="AK24" s="169" t="s">
        <v>73</v>
      </c>
      <c r="AL24" s="169" t="s">
        <v>72</v>
      </c>
      <c r="AM24">
        <v>4</v>
      </c>
      <c r="AN24" s="169" t="s">
        <v>72</v>
      </c>
      <c r="AO24">
        <v>4</v>
      </c>
      <c r="AP24" s="169" t="s">
        <v>73</v>
      </c>
      <c r="AR24" s="169" t="s">
        <v>73</v>
      </c>
      <c r="AT24" s="168" t="s">
        <v>73</v>
      </c>
      <c r="AW24" s="1">
        <v>50</v>
      </c>
      <c r="AX24" s="1">
        <v>15</v>
      </c>
      <c r="AY24" s="169" t="s">
        <v>73</v>
      </c>
      <c r="AZ24" s="169" t="s">
        <v>73</v>
      </c>
      <c r="BA24" s="170" t="s">
        <v>73</v>
      </c>
      <c r="BB24" s="169">
        <v>1867</v>
      </c>
      <c r="BC24" s="102">
        <v>45644.860902777778</v>
      </c>
      <c r="BD24" s="87">
        <v>45644.819236111114</v>
      </c>
      <c r="BE24" s="169" t="s">
        <v>73</v>
      </c>
      <c r="BF24" s="169" t="s">
        <v>73</v>
      </c>
      <c r="BG24" s="169" t="s">
        <v>73</v>
      </c>
      <c r="BH24" s="169" t="s">
        <v>73</v>
      </c>
      <c r="BI24" s="169" t="s">
        <v>73</v>
      </c>
      <c r="BJ24" s="169" t="s">
        <v>73</v>
      </c>
      <c r="BK24" s="169"/>
      <c r="BL24" s="169" t="s">
        <v>73</v>
      </c>
      <c r="BM24" s="169" t="s">
        <v>73</v>
      </c>
      <c r="BN24" s="169" t="s">
        <v>73</v>
      </c>
      <c r="BO24" s="169" t="s">
        <v>73</v>
      </c>
      <c r="BP24" s="169" t="s">
        <v>73</v>
      </c>
      <c r="BQ24" s="169" t="s">
        <v>73</v>
      </c>
      <c r="BR24" s="1"/>
      <c r="BS24" s="169" t="s">
        <v>73</v>
      </c>
      <c r="BT24" s="169" t="s">
        <v>73</v>
      </c>
      <c r="BU24" s="169" t="s">
        <v>73</v>
      </c>
      <c r="BV24" s="169" t="s">
        <v>73</v>
      </c>
      <c r="BW24" s="1"/>
      <c r="BX24"/>
      <c r="BY24"/>
    </row>
    <row r="25" spans="1:77" ht="16" x14ac:dyDescent="0.2">
      <c r="A25" s="168" t="s">
        <v>135</v>
      </c>
      <c r="B25" s="168" t="s">
        <v>226</v>
      </c>
      <c r="C25" s="168" t="s">
        <v>227</v>
      </c>
      <c r="D25" s="169" t="s">
        <v>73</v>
      </c>
      <c r="E25" s="169" t="s">
        <v>72</v>
      </c>
      <c r="F25" s="169" t="s">
        <v>72</v>
      </c>
      <c r="G25" s="169" t="s">
        <v>73</v>
      </c>
      <c r="H25" s="169"/>
      <c r="I25" s="169">
        <v>5</v>
      </c>
      <c r="N25" s="169"/>
      <c r="O25" s="169"/>
      <c r="P25" s="169"/>
      <c r="Q25" s="169" t="s">
        <v>73</v>
      </c>
      <c r="R25" s="169" t="s">
        <v>73</v>
      </c>
      <c r="S25" s="169" t="s">
        <v>73</v>
      </c>
      <c r="T25" s="79"/>
      <c r="U25" s="79"/>
      <c r="V25" s="1"/>
      <c r="W25" s="1"/>
      <c r="X25" s="1"/>
      <c r="Y25" s="1"/>
      <c r="Z25" s="169" t="s">
        <v>73</v>
      </c>
      <c r="AA25" s="169" t="s">
        <v>73</v>
      </c>
      <c r="AC25" s="1"/>
      <c r="AE25" s="1"/>
      <c r="AF25" s="1"/>
      <c r="AK25" s="169" t="s">
        <v>72</v>
      </c>
      <c r="AL25" s="169" t="s">
        <v>72</v>
      </c>
      <c r="AM25">
        <v>5</v>
      </c>
      <c r="AN25" s="169" t="s">
        <v>72</v>
      </c>
      <c r="AO25">
        <v>5</v>
      </c>
      <c r="AP25" s="169" t="s">
        <v>73</v>
      </c>
      <c r="AR25" s="169" t="s">
        <v>72</v>
      </c>
      <c r="AS25">
        <v>5</v>
      </c>
      <c r="AT25" s="168" t="s">
        <v>73</v>
      </c>
      <c r="AW25" s="1">
        <v>40</v>
      </c>
      <c r="AX25" s="1">
        <v>1</v>
      </c>
      <c r="AY25" s="169" t="s">
        <v>73</v>
      </c>
      <c r="AZ25" s="169" t="s">
        <v>73</v>
      </c>
      <c r="BA25" s="170" t="s">
        <v>73</v>
      </c>
      <c r="BB25" s="169">
        <v>1864</v>
      </c>
      <c r="BC25" s="102">
        <v>45644.82234953704</v>
      </c>
      <c r="BD25" s="87">
        <v>45644.780682870369</v>
      </c>
      <c r="BE25" s="169" t="s">
        <v>73</v>
      </c>
      <c r="BF25" s="169" t="s">
        <v>73</v>
      </c>
      <c r="BG25" s="169" t="s">
        <v>73</v>
      </c>
      <c r="BH25" s="169" t="s">
        <v>73</v>
      </c>
      <c r="BI25" s="169" t="s">
        <v>73</v>
      </c>
      <c r="BJ25" s="169" t="s">
        <v>73</v>
      </c>
      <c r="BK25" s="169"/>
      <c r="BL25" s="169" t="s">
        <v>73</v>
      </c>
      <c r="BM25" s="169" t="s">
        <v>73</v>
      </c>
      <c r="BN25" s="169" t="s">
        <v>73</v>
      </c>
      <c r="BO25" s="169" t="s">
        <v>73</v>
      </c>
      <c r="BP25" s="169" t="s">
        <v>73</v>
      </c>
      <c r="BQ25" s="169" t="s">
        <v>73</v>
      </c>
      <c r="BR25" s="1"/>
      <c r="BS25" s="169" t="s">
        <v>73</v>
      </c>
      <c r="BT25" s="169" t="s">
        <v>73</v>
      </c>
      <c r="BU25" s="169" t="s">
        <v>73</v>
      </c>
      <c r="BV25" s="169" t="s">
        <v>73</v>
      </c>
      <c r="BW25" s="1"/>
      <c r="BX25"/>
      <c r="BY25"/>
    </row>
    <row r="26" spans="1:77" ht="16" x14ac:dyDescent="0.2">
      <c r="A26" s="168" t="s">
        <v>135</v>
      </c>
      <c r="B26" s="168" t="s">
        <v>205</v>
      </c>
      <c r="C26" s="168" t="s">
        <v>206</v>
      </c>
      <c r="D26" s="169" t="s">
        <v>73</v>
      </c>
      <c r="E26" s="169" t="s">
        <v>72</v>
      </c>
      <c r="F26" s="169" t="s">
        <v>73</v>
      </c>
      <c r="G26" s="169" t="s">
        <v>73</v>
      </c>
      <c r="H26" s="169"/>
      <c r="I26" s="169">
        <v>6</v>
      </c>
      <c r="J26">
        <v>6</v>
      </c>
      <c r="L26">
        <v>4</v>
      </c>
      <c r="N26" s="169"/>
      <c r="O26" s="169"/>
      <c r="P26" s="169"/>
      <c r="Q26" s="169" t="s">
        <v>73</v>
      </c>
      <c r="R26" s="169" t="s">
        <v>73</v>
      </c>
      <c r="S26" s="169" t="s">
        <v>73</v>
      </c>
      <c r="T26" s="79"/>
      <c r="U26" s="79"/>
      <c r="V26" s="1"/>
      <c r="W26" s="1"/>
      <c r="X26" s="1"/>
      <c r="Y26" s="1"/>
      <c r="Z26" s="169" t="s">
        <v>73</v>
      </c>
      <c r="AA26" s="169" t="s">
        <v>73</v>
      </c>
      <c r="AC26" s="1"/>
      <c r="AE26" s="1"/>
      <c r="AF26" s="1"/>
      <c r="AK26" s="169" t="s">
        <v>73</v>
      </c>
      <c r="AL26" s="169" t="s">
        <v>72</v>
      </c>
      <c r="AM26">
        <v>6</v>
      </c>
      <c r="AN26" s="169" t="s">
        <v>72</v>
      </c>
      <c r="AO26">
        <v>6</v>
      </c>
      <c r="AP26" s="169" t="s">
        <v>73</v>
      </c>
      <c r="AR26" s="169" t="s">
        <v>72</v>
      </c>
      <c r="AS26">
        <v>6</v>
      </c>
      <c r="AT26" s="168" t="s">
        <v>72</v>
      </c>
      <c r="AU26">
        <v>2</v>
      </c>
      <c r="AW26" s="1">
        <v>100</v>
      </c>
      <c r="AX26" s="1">
        <v>8</v>
      </c>
      <c r="AY26" s="169" t="s">
        <v>72</v>
      </c>
      <c r="AZ26" s="169" t="s">
        <v>73</v>
      </c>
      <c r="BA26" s="170" t="s">
        <v>73</v>
      </c>
      <c r="BB26" s="169">
        <v>1859</v>
      </c>
      <c r="BC26" s="102">
        <v>45644.468113425923</v>
      </c>
      <c r="BD26" s="87">
        <v>45644.426446759258</v>
      </c>
      <c r="BE26" s="169" t="s">
        <v>73</v>
      </c>
      <c r="BF26" s="169" t="s">
        <v>73</v>
      </c>
      <c r="BG26" s="169" t="s">
        <v>73</v>
      </c>
      <c r="BH26" s="169" t="s">
        <v>73</v>
      </c>
      <c r="BI26" s="169" t="s">
        <v>73</v>
      </c>
      <c r="BJ26" s="169" t="s">
        <v>73</v>
      </c>
      <c r="BK26" s="169"/>
      <c r="BL26" s="169" t="s">
        <v>73</v>
      </c>
      <c r="BM26" s="169" t="s">
        <v>73</v>
      </c>
      <c r="BN26" s="169" t="s">
        <v>73</v>
      </c>
      <c r="BO26" s="169" t="s">
        <v>73</v>
      </c>
      <c r="BP26" s="169" t="s">
        <v>73</v>
      </c>
      <c r="BQ26" s="169" t="s">
        <v>73</v>
      </c>
      <c r="BR26" s="1"/>
      <c r="BS26" s="169" t="s">
        <v>73</v>
      </c>
      <c r="BT26" s="169" t="s">
        <v>73</v>
      </c>
      <c r="BU26" s="169" t="s">
        <v>73</v>
      </c>
      <c r="BV26" s="169" t="s">
        <v>73</v>
      </c>
      <c r="BW26" s="1"/>
      <c r="BX26"/>
      <c r="BY26"/>
    </row>
    <row r="27" spans="1:77" ht="16" x14ac:dyDescent="0.2">
      <c r="A27" s="168" t="s">
        <v>135</v>
      </c>
      <c r="B27" s="168" t="s">
        <v>212</v>
      </c>
      <c r="C27" s="168" t="s">
        <v>213</v>
      </c>
      <c r="D27" s="169" t="s">
        <v>73</v>
      </c>
      <c r="E27" s="169" t="s">
        <v>72</v>
      </c>
      <c r="F27" s="169" t="s">
        <v>72</v>
      </c>
      <c r="G27" s="169" t="s">
        <v>73</v>
      </c>
      <c r="H27" s="169"/>
      <c r="I27" s="169">
        <v>6</v>
      </c>
      <c r="N27" s="169"/>
      <c r="O27" s="169"/>
      <c r="P27" s="169"/>
      <c r="Q27" s="169" t="s">
        <v>73</v>
      </c>
      <c r="R27" s="169" t="s">
        <v>73</v>
      </c>
      <c r="S27" s="169" t="s">
        <v>73</v>
      </c>
      <c r="T27" s="79"/>
      <c r="U27" s="79"/>
      <c r="V27" s="1"/>
      <c r="W27" s="1"/>
      <c r="X27" s="1"/>
      <c r="Y27" s="1"/>
      <c r="Z27" s="169" t="s">
        <v>73</v>
      </c>
      <c r="AA27" s="169" t="s">
        <v>73</v>
      </c>
      <c r="AC27" s="1"/>
      <c r="AE27" s="1"/>
      <c r="AF27" s="1"/>
      <c r="AK27" s="169" t="s">
        <v>73</v>
      </c>
      <c r="AL27" s="169" t="s">
        <v>72</v>
      </c>
      <c r="AM27">
        <v>6</v>
      </c>
      <c r="AN27" s="169" t="s">
        <v>72</v>
      </c>
      <c r="AO27">
        <v>6</v>
      </c>
      <c r="AP27" s="169" t="s">
        <v>73</v>
      </c>
      <c r="AR27" s="169" t="s">
        <v>72</v>
      </c>
      <c r="AS27">
        <v>6</v>
      </c>
      <c r="AT27" s="168" t="s">
        <v>73</v>
      </c>
      <c r="AW27" s="1">
        <v>40</v>
      </c>
      <c r="AX27" s="1">
        <v>2</v>
      </c>
      <c r="AY27" s="169" t="s">
        <v>72</v>
      </c>
      <c r="AZ27" s="169" t="s">
        <v>73</v>
      </c>
      <c r="BA27" s="170" t="s">
        <v>73</v>
      </c>
      <c r="BB27" s="169">
        <v>1857</v>
      </c>
      <c r="BC27" s="102">
        <v>45643.901631944442</v>
      </c>
      <c r="BD27" s="87">
        <v>45643.859965277778</v>
      </c>
      <c r="BE27" s="169" t="s">
        <v>73</v>
      </c>
      <c r="BF27" s="169" t="s">
        <v>73</v>
      </c>
      <c r="BG27" s="169" t="s">
        <v>73</v>
      </c>
      <c r="BH27" s="169" t="s">
        <v>73</v>
      </c>
      <c r="BI27" s="169" t="s">
        <v>73</v>
      </c>
      <c r="BJ27" s="169" t="s">
        <v>73</v>
      </c>
      <c r="BK27" s="169"/>
      <c r="BL27" s="169" t="s">
        <v>73</v>
      </c>
      <c r="BM27" s="169" t="s">
        <v>73</v>
      </c>
      <c r="BN27" s="169" t="s">
        <v>73</v>
      </c>
      <c r="BO27" s="169" t="s">
        <v>73</v>
      </c>
      <c r="BP27" s="169" t="s">
        <v>73</v>
      </c>
      <c r="BQ27" s="169" t="s">
        <v>73</v>
      </c>
      <c r="BR27" s="1"/>
      <c r="BS27" s="169" t="s">
        <v>73</v>
      </c>
      <c r="BT27" s="169" t="s">
        <v>73</v>
      </c>
      <c r="BU27" s="169" t="s">
        <v>73</v>
      </c>
      <c r="BV27" s="169" t="s">
        <v>73</v>
      </c>
      <c r="BW27" s="1"/>
      <c r="BX27"/>
      <c r="BY27"/>
    </row>
    <row r="28" spans="1:77" ht="80" x14ac:dyDescent="0.2">
      <c r="A28" s="168" t="s">
        <v>135</v>
      </c>
      <c r="B28" s="168" t="s">
        <v>207</v>
      </c>
      <c r="C28" s="168" t="s">
        <v>236</v>
      </c>
      <c r="D28" s="169" t="s">
        <v>73</v>
      </c>
      <c r="E28" s="169" t="s">
        <v>72</v>
      </c>
      <c r="F28" s="169" t="s">
        <v>72</v>
      </c>
      <c r="G28" s="169" t="s">
        <v>73</v>
      </c>
      <c r="H28" s="169"/>
      <c r="I28" s="169"/>
      <c r="N28" s="169"/>
      <c r="O28" s="169"/>
      <c r="P28" s="169"/>
      <c r="Q28" s="169" t="s">
        <v>73</v>
      </c>
      <c r="R28" s="169" t="s">
        <v>73</v>
      </c>
      <c r="S28" s="169" t="s">
        <v>73</v>
      </c>
      <c r="T28" s="79"/>
      <c r="U28" s="79"/>
      <c r="V28" s="1"/>
      <c r="W28" s="1"/>
      <c r="X28" s="1"/>
      <c r="Y28" s="1"/>
      <c r="Z28" s="169" t="s">
        <v>73</v>
      </c>
      <c r="AA28" s="169" t="s">
        <v>73</v>
      </c>
      <c r="AC28" s="1"/>
      <c r="AE28" s="1"/>
      <c r="AF28" s="1"/>
      <c r="AK28" s="169" t="s">
        <v>73</v>
      </c>
      <c r="AL28" s="169" t="s">
        <v>73</v>
      </c>
      <c r="AN28" s="169" t="s">
        <v>73</v>
      </c>
      <c r="AP28" s="169" t="s">
        <v>73</v>
      </c>
      <c r="AR28" s="169" t="s">
        <v>73</v>
      </c>
      <c r="AT28" s="168" t="s">
        <v>73</v>
      </c>
      <c r="AW28" s="1">
        <v>76</v>
      </c>
      <c r="AX28" s="1">
        <v>21</v>
      </c>
      <c r="AY28" s="169" t="s">
        <v>73</v>
      </c>
      <c r="AZ28" s="169" t="s">
        <v>73</v>
      </c>
      <c r="BA28" s="170" t="s">
        <v>214</v>
      </c>
      <c r="BB28" s="169">
        <v>1855</v>
      </c>
      <c r="BC28" s="102">
        <v>45643.499814814815</v>
      </c>
      <c r="BD28" s="87">
        <v>45646.44494212963</v>
      </c>
      <c r="BE28" s="169" t="s">
        <v>73</v>
      </c>
      <c r="BF28" s="169" t="s">
        <v>73</v>
      </c>
      <c r="BG28" s="169" t="s">
        <v>73</v>
      </c>
      <c r="BH28" s="169" t="s">
        <v>73</v>
      </c>
      <c r="BI28" s="169" t="s">
        <v>73</v>
      </c>
      <c r="BJ28" s="169" t="s">
        <v>73</v>
      </c>
      <c r="BK28" s="169"/>
      <c r="BL28" s="169" t="s">
        <v>73</v>
      </c>
      <c r="BM28" s="169" t="s">
        <v>73</v>
      </c>
      <c r="BN28" s="169" t="s">
        <v>73</v>
      </c>
      <c r="BO28" s="169" t="s">
        <v>73</v>
      </c>
      <c r="BP28" s="169" t="s">
        <v>73</v>
      </c>
      <c r="BQ28" s="169" t="s">
        <v>73</v>
      </c>
      <c r="BR28" s="1"/>
      <c r="BS28" s="169" t="s">
        <v>73</v>
      </c>
      <c r="BT28" s="169" t="s">
        <v>73</v>
      </c>
      <c r="BU28" s="169" t="s">
        <v>73</v>
      </c>
      <c r="BV28" s="169" t="s">
        <v>73</v>
      </c>
      <c r="BW28" s="1"/>
      <c r="BX28"/>
      <c r="BY28"/>
    </row>
    <row r="29" spans="1:77" ht="208" x14ac:dyDescent="0.2">
      <c r="A29" s="168" t="s">
        <v>135</v>
      </c>
      <c r="B29" s="168" t="s">
        <v>175</v>
      </c>
      <c r="C29" s="168" t="s">
        <v>155</v>
      </c>
      <c r="D29" s="169" t="s">
        <v>73</v>
      </c>
      <c r="E29" s="169" t="s">
        <v>72</v>
      </c>
      <c r="F29" s="169" t="s">
        <v>73</v>
      </c>
      <c r="G29" s="169" t="s">
        <v>73</v>
      </c>
      <c r="H29" s="169"/>
      <c r="I29" s="169">
        <v>8</v>
      </c>
      <c r="N29" s="169"/>
      <c r="O29" s="169"/>
      <c r="P29" s="169"/>
      <c r="Q29" s="169" t="s">
        <v>73</v>
      </c>
      <c r="R29" s="169" t="s">
        <v>73</v>
      </c>
      <c r="S29" s="169" t="s">
        <v>73</v>
      </c>
      <c r="T29" s="79"/>
      <c r="U29" s="79"/>
      <c r="V29" s="1"/>
      <c r="W29" s="1"/>
      <c r="X29" s="1"/>
      <c r="Y29" s="1"/>
      <c r="Z29" s="169" t="s">
        <v>73</v>
      </c>
      <c r="AA29" s="169" t="s">
        <v>73</v>
      </c>
      <c r="AC29" s="1"/>
      <c r="AE29" s="1"/>
      <c r="AF29" s="1"/>
      <c r="AK29" s="169" t="s">
        <v>73</v>
      </c>
      <c r="AL29" s="169" t="s">
        <v>73</v>
      </c>
      <c r="AN29" s="169" t="s">
        <v>73</v>
      </c>
      <c r="AP29" s="169" t="s">
        <v>73</v>
      </c>
      <c r="AR29" s="169" t="s">
        <v>73</v>
      </c>
      <c r="AT29" s="168" t="s">
        <v>73</v>
      </c>
      <c r="AW29" s="1">
        <v>12</v>
      </c>
      <c r="AX29" s="1">
        <v>0</v>
      </c>
      <c r="AY29" s="169" t="s">
        <v>73</v>
      </c>
      <c r="AZ29" s="169" t="s">
        <v>73</v>
      </c>
      <c r="BA29" s="170" t="s">
        <v>156</v>
      </c>
      <c r="BB29" s="169">
        <v>1821</v>
      </c>
      <c r="BC29" s="102">
        <v>45635.785624999997</v>
      </c>
      <c r="BD29" s="87">
        <v>45635.750081018516</v>
      </c>
      <c r="BE29" s="169" t="s">
        <v>73</v>
      </c>
      <c r="BF29" s="169" t="s">
        <v>73</v>
      </c>
      <c r="BG29" s="169" t="s">
        <v>73</v>
      </c>
      <c r="BH29" s="169" t="s">
        <v>73</v>
      </c>
      <c r="BI29" s="169" t="s">
        <v>73</v>
      </c>
      <c r="BJ29" s="169" t="s">
        <v>73</v>
      </c>
      <c r="BK29" s="169"/>
      <c r="BL29" s="169" t="s">
        <v>73</v>
      </c>
      <c r="BM29" s="169" t="s">
        <v>73</v>
      </c>
      <c r="BN29" s="169" t="s">
        <v>73</v>
      </c>
      <c r="BO29" s="169" t="s">
        <v>73</v>
      </c>
      <c r="BP29" s="169" t="s">
        <v>73</v>
      </c>
      <c r="BQ29" s="169" t="s">
        <v>73</v>
      </c>
      <c r="BR29" s="1"/>
      <c r="BS29" s="169" t="s">
        <v>73</v>
      </c>
      <c r="BT29" s="169" t="s">
        <v>73</v>
      </c>
      <c r="BU29" s="169" t="s">
        <v>73</v>
      </c>
      <c r="BV29" s="169" t="s">
        <v>73</v>
      </c>
      <c r="BW29" s="1"/>
      <c r="BX29"/>
      <c r="BY29"/>
    </row>
    <row r="30" spans="1:77" ht="16" x14ac:dyDescent="0.2">
      <c r="A30" s="168" t="s">
        <v>135</v>
      </c>
      <c r="B30" s="168" t="s">
        <v>176</v>
      </c>
      <c r="C30" s="168" t="s">
        <v>149</v>
      </c>
      <c r="D30" s="169" t="s">
        <v>73</v>
      </c>
      <c r="E30" s="169" t="s">
        <v>72</v>
      </c>
      <c r="F30" s="169" t="s">
        <v>73</v>
      </c>
      <c r="G30" s="169" t="s">
        <v>73</v>
      </c>
      <c r="H30" s="169"/>
      <c r="I30" s="169">
        <v>6</v>
      </c>
      <c r="N30" s="169"/>
      <c r="O30" s="169"/>
      <c r="P30" s="169"/>
      <c r="Q30" s="169" t="s">
        <v>73</v>
      </c>
      <c r="R30" s="169" t="s">
        <v>73</v>
      </c>
      <c r="S30" s="169" t="s">
        <v>73</v>
      </c>
      <c r="T30" s="79"/>
      <c r="U30" s="79"/>
      <c r="V30" s="1"/>
      <c r="W30" s="1"/>
      <c r="X30" s="1"/>
      <c r="Y30" s="1"/>
      <c r="Z30" s="169" t="s">
        <v>73</v>
      </c>
      <c r="AA30" s="169" t="s">
        <v>73</v>
      </c>
      <c r="AC30" s="1"/>
      <c r="AE30" s="1"/>
      <c r="AF30" s="1"/>
      <c r="AK30" s="169" t="s">
        <v>73</v>
      </c>
      <c r="AL30" s="169" t="s">
        <v>72</v>
      </c>
      <c r="AM30">
        <v>4</v>
      </c>
      <c r="AN30" s="169" t="s">
        <v>73</v>
      </c>
      <c r="AP30" s="169" t="s">
        <v>73</v>
      </c>
      <c r="AR30" s="169" t="s">
        <v>73</v>
      </c>
      <c r="AT30" s="168" t="s">
        <v>73</v>
      </c>
      <c r="AW30" s="1">
        <v>35</v>
      </c>
      <c r="AX30" s="1">
        <v>2</v>
      </c>
      <c r="AY30" s="169" t="s">
        <v>73</v>
      </c>
      <c r="AZ30" s="169" t="s">
        <v>73</v>
      </c>
      <c r="BA30" s="170" t="s">
        <v>73</v>
      </c>
      <c r="BB30" s="169">
        <v>1815</v>
      </c>
      <c r="BC30" s="102">
        <v>45634.680821759262</v>
      </c>
      <c r="BD30" s="87">
        <v>45634.639155092591</v>
      </c>
      <c r="BE30" s="169" t="s">
        <v>73</v>
      </c>
      <c r="BF30" s="169" t="s">
        <v>73</v>
      </c>
      <c r="BG30" s="169" t="s">
        <v>73</v>
      </c>
      <c r="BH30" s="169" t="s">
        <v>73</v>
      </c>
      <c r="BI30" s="169" t="s">
        <v>73</v>
      </c>
      <c r="BJ30" s="169" t="s">
        <v>73</v>
      </c>
      <c r="BK30" s="169"/>
      <c r="BL30" s="169" t="s">
        <v>73</v>
      </c>
      <c r="BM30" s="169" t="s">
        <v>73</v>
      </c>
      <c r="BN30" s="169" t="s">
        <v>73</v>
      </c>
      <c r="BO30" s="169" t="s">
        <v>73</v>
      </c>
      <c r="BP30" s="169" t="s">
        <v>73</v>
      </c>
      <c r="BQ30" s="169" t="s">
        <v>73</v>
      </c>
      <c r="BR30" s="1"/>
      <c r="BS30" s="169" t="s">
        <v>73</v>
      </c>
      <c r="BT30" s="169" t="s">
        <v>73</v>
      </c>
      <c r="BU30" s="169" t="s">
        <v>73</v>
      </c>
      <c r="BV30" s="169" t="s">
        <v>73</v>
      </c>
      <c r="BW30" s="1"/>
      <c r="BX30"/>
      <c r="BY30"/>
    </row>
    <row r="31" spans="1:77" ht="16" x14ac:dyDescent="0.2">
      <c r="A31" s="168" t="s">
        <v>135</v>
      </c>
      <c r="B31" s="168" t="s">
        <v>177</v>
      </c>
      <c r="C31" s="168" t="s">
        <v>148</v>
      </c>
      <c r="D31" s="169" t="s">
        <v>73</v>
      </c>
      <c r="E31" s="169" t="s">
        <v>72</v>
      </c>
      <c r="F31" s="169" t="s">
        <v>72</v>
      </c>
      <c r="G31" s="169" t="s">
        <v>73</v>
      </c>
      <c r="H31" s="169"/>
      <c r="I31" s="169">
        <v>4</v>
      </c>
      <c r="L31">
        <v>3</v>
      </c>
      <c r="N31" s="169"/>
      <c r="O31" s="169"/>
      <c r="P31" s="169"/>
      <c r="Q31" s="169" t="s">
        <v>73</v>
      </c>
      <c r="R31" s="169" t="s">
        <v>73</v>
      </c>
      <c r="S31" s="169" t="s">
        <v>73</v>
      </c>
      <c r="T31" s="79"/>
      <c r="U31" s="79"/>
      <c r="V31" s="1"/>
      <c r="W31" s="1"/>
      <c r="X31" s="1"/>
      <c r="Y31" s="1"/>
      <c r="Z31" s="169" t="s">
        <v>73</v>
      </c>
      <c r="AA31" s="169" t="s">
        <v>73</v>
      </c>
      <c r="AC31" s="1"/>
      <c r="AE31" s="1"/>
      <c r="AF31" s="1"/>
      <c r="AK31" s="169" t="s">
        <v>73</v>
      </c>
      <c r="AL31" s="169" t="s">
        <v>72</v>
      </c>
      <c r="AM31">
        <v>4</v>
      </c>
      <c r="AN31" s="169" t="s">
        <v>72</v>
      </c>
      <c r="AO31">
        <v>4</v>
      </c>
      <c r="AP31" s="169" t="s">
        <v>73</v>
      </c>
      <c r="AR31" s="169" t="s">
        <v>72</v>
      </c>
      <c r="AS31">
        <v>4</v>
      </c>
      <c r="AT31" s="168" t="s">
        <v>73</v>
      </c>
      <c r="AW31" s="1">
        <v>50</v>
      </c>
      <c r="AX31" s="1">
        <v>3</v>
      </c>
      <c r="AY31" s="169" t="s">
        <v>73</v>
      </c>
      <c r="AZ31" s="169" t="s">
        <v>73</v>
      </c>
      <c r="BA31" s="170" t="s">
        <v>73</v>
      </c>
      <c r="BB31" s="169">
        <v>1814</v>
      </c>
      <c r="BC31" s="102">
        <v>45631.918958333335</v>
      </c>
      <c r="BD31" s="87">
        <v>45631.877291666664</v>
      </c>
      <c r="BE31" s="169" t="s">
        <v>73</v>
      </c>
      <c r="BF31" s="169" t="s">
        <v>73</v>
      </c>
      <c r="BG31" s="169" t="s">
        <v>73</v>
      </c>
      <c r="BH31" s="169" t="s">
        <v>73</v>
      </c>
      <c r="BI31" s="169" t="s">
        <v>73</v>
      </c>
      <c r="BJ31" s="169" t="s">
        <v>73</v>
      </c>
      <c r="BK31" s="169"/>
      <c r="BL31" s="169" t="s">
        <v>73</v>
      </c>
      <c r="BM31" s="169" t="s">
        <v>73</v>
      </c>
      <c r="BN31" s="169" t="s">
        <v>73</v>
      </c>
      <c r="BO31" s="169" t="s">
        <v>73</v>
      </c>
      <c r="BP31" s="169" t="s">
        <v>73</v>
      </c>
      <c r="BQ31" s="169" t="s">
        <v>73</v>
      </c>
      <c r="BR31" s="1"/>
      <c r="BS31" s="169" t="s">
        <v>73</v>
      </c>
      <c r="BT31" s="169" t="s">
        <v>73</v>
      </c>
      <c r="BU31" s="169" t="s">
        <v>73</v>
      </c>
      <c r="BV31" s="169" t="s">
        <v>73</v>
      </c>
      <c r="BW31" s="1"/>
      <c r="BX31"/>
      <c r="BY31"/>
    </row>
    <row r="32" spans="1:77" ht="16" x14ac:dyDescent="0.2">
      <c r="A32" s="168" t="s">
        <v>135</v>
      </c>
      <c r="B32" s="168" t="s">
        <v>178</v>
      </c>
      <c r="C32" s="168" t="s">
        <v>132</v>
      </c>
      <c r="D32" s="169" t="s">
        <v>73</v>
      </c>
      <c r="E32" s="169" t="s">
        <v>72</v>
      </c>
      <c r="F32" s="169" t="s">
        <v>72</v>
      </c>
      <c r="G32" s="169" t="s">
        <v>73</v>
      </c>
      <c r="H32" s="169"/>
      <c r="I32" s="169"/>
      <c r="N32" s="169"/>
      <c r="O32" s="169"/>
      <c r="P32" s="169"/>
      <c r="Q32" s="169" t="s">
        <v>73</v>
      </c>
      <c r="R32" s="169" t="s">
        <v>73</v>
      </c>
      <c r="S32" s="169" t="s">
        <v>73</v>
      </c>
      <c r="T32" s="79"/>
      <c r="U32" s="79"/>
      <c r="V32" s="1"/>
      <c r="W32" s="1"/>
      <c r="X32" s="1"/>
      <c r="Y32" s="1"/>
      <c r="Z32" s="169" t="s">
        <v>73</v>
      </c>
      <c r="AA32" s="169" t="s">
        <v>73</v>
      </c>
      <c r="AC32" s="1"/>
      <c r="AE32" s="1"/>
      <c r="AF32" s="1"/>
      <c r="AK32" s="169" t="s">
        <v>73</v>
      </c>
      <c r="AL32" s="169" t="s">
        <v>72</v>
      </c>
      <c r="AM32">
        <v>6</v>
      </c>
      <c r="AN32" s="169" t="s">
        <v>72</v>
      </c>
      <c r="AO32">
        <v>6</v>
      </c>
      <c r="AP32" s="169" t="s">
        <v>72</v>
      </c>
      <c r="AQ32">
        <v>6</v>
      </c>
      <c r="AR32" s="169" t="s">
        <v>72</v>
      </c>
      <c r="AS32">
        <v>6</v>
      </c>
      <c r="AT32" s="168" t="s">
        <v>72</v>
      </c>
      <c r="AU32">
        <v>1</v>
      </c>
      <c r="AV32">
        <v>1</v>
      </c>
      <c r="AW32" s="1">
        <v>25</v>
      </c>
      <c r="AX32" s="1">
        <v>3</v>
      </c>
      <c r="AY32" s="169" t="s">
        <v>73</v>
      </c>
      <c r="AZ32" s="169" t="s">
        <v>73</v>
      </c>
      <c r="BA32" s="170" t="s">
        <v>73</v>
      </c>
      <c r="BB32" s="169">
        <v>1807</v>
      </c>
      <c r="BC32" s="102">
        <v>45619.272326388891</v>
      </c>
      <c r="BD32" s="87">
        <v>45631.710601851853</v>
      </c>
      <c r="BE32" s="169" t="s">
        <v>73</v>
      </c>
      <c r="BF32" s="169" t="s">
        <v>73</v>
      </c>
      <c r="BG32" s="169" t="s">
        <v>73</v>
      </c>
      <c r="BH32" s="169" t="s">
        <v>73</v>
      </c>
      <c r="BI32" s="169" t="s">
        <v>73</v>
      </c>
      <c r="BJ32" s="169" t="s">
        <v>73</v>
      </c>
      <c r="BK32" s="169"/>
      <c r="BL32" s="169" t="s">
        <v>73</v>
      </c>
      <c r="BM32" s="169" t="s">
        <v>73</v>
      </c>
      <c r="BN32" s="169" t="s">
        <v>73</v>
      </c>
      <c r="BO32" s="169" t="s">
        <v>73</v>
      </c>
      <c r="BP32" s="169" t="s">
        <v>73</v>
      </c>
      <c r="BQ32" s="169" t="s">
        <v>73</v>
      </c>
      <c r="BR32" s="1"/>
      <c r="BS32" s="169" t="s">
        <v>73</v>
      </c>
      <c r="BT32" s="169" t="s">
        <v>73</v>
      </c>
      <c r="BU32" s="169" t="s">
        <v>73</v>
      </c>
      <c r="BV32" s="169" t="s">
        <v>73</v>
      </c>
      <c r="BW32" s="1"/>
      <c r="BX32"/>
      <c r="BY32"/>
    </row>
    <row r="33" spans="1:77" ht="16" x14ac:dyDescent="0.2">
      <c r="A33" s="168" t="s">
        <v>136</v>
      </c>
      <c r="B33" s="168" t="s">
        <v>210</v>
      </c>
      <c r="C33" s="168" t="s">
        <v>211</v>
      </c>
      <c r="D33" s="169" t="s">
        <v>73</v>
      </c>
      <c r="E33" s="169" t="s">
        <v>72</v>
      </c>
      <c r="F33" s="169" t="s">
        <v>72</v>
      </c>
      <c r="G33" s="169" t="s">
        <v>73</v>
      </c>
      <c r="H33" s="169"/>
      <c r="I33" s="169">
        <v>5</v>
      </c>
      <c r="J33">
        <v>3</v>
      </c>
      <c r="N33" s="169">
        <v>4</v>
      </c>
      <c r="O33" s="169"/>
      <c r="P33" s="169"/>
      <c r="Q33" s="169" t="s">
        <v>73</v>
      </c>
      <c r="R33" s="169" t="s">
        <v>73</v>
      </c>
      <c r="S33" s="169" t="s">
        <v>73</v>
      </c>
      <c r="T33" s="79">
        <v>3</v>
      </c>
      <c r="U33" s="79">
        <v>1</v>
      </c>
      <c r="V33" s="1"/>
      <c r="W33" s="1">
        <v>3</v>
      </c>
      <c r="X33" s="1">
        <v>1</v>
      </c>
      <c r="Y33" s="1"/>
      <c r="Z33" s="169" t="s">
        <v>73</v>
      </c>
      <c r="AA33" s="169" t="s">
        <v>73</v>
      </c>
      <c r="AC33" s="1"/>
      <c r="AE33" s="1"/>
      <c r="AF33" s="1"/>
      <c r="AK33" s="169" t="s">
        <v>72</v>
      </c>
      <c r="AL33" s="169" t="s">
        <v>73</v>
      </c>
      <c r="AN33" s="169" t="s">
        <v>73</v>
      </c>
      <c r="AP33" s="169" t="s">
        <v>73</v>
      </c>
      <c r="AR33" s="169" t="s">
        <v>73</v>
      </c>
      <c r="AT33" s="168" t="s">
        <v>73</v>
      </c>
      <c r="AW33" s="1">
        <v>32</v>
      </c>
      <c r="AX33" s="1">
        <v>7</v>
      </c>
      <c r="AY33" s="169" t="s">
        <v>73</v>
      </c>
      <c r="AZ33" s="169" t="s">
        <v>73</v>
      </c>
      <c r="BA33" s="170" t="s">
        <v>73</v>
      </c>
      <c r="BB33" s="169">
        <v>1847</v>
      </c>
      <c r="BC33" s="102">
        <v>45642.810335648152</v>
      </c>
      <c r="BD33" s="87">
        <v>45642.76866898148</v>
      </c>
      <c r="BE33" s="169" t="s">
        <v>73</v>
      </c>
      <c r="BF33" s="169" t="s">
        <v>73</v>
      </c>
      <c r="BG33" s="169" t="s">
        <v>73</v>
      </c>
      <c r="BH33" s="169" t="s">
        <v>73</v>
      </c>
      <c r="BI33" s="169" t="s">
        <v>73</v>
      </c>
      <c r="BJ33" s="169" t="s">
        <v>73</v>
      </c>
      <c r="BK33" s="169"/>
      <c r="BL33" s="169" t="s">
        <v>73</v>
      </c>
      <c r="BM33" s="169" t="s">
        <v>73</v>
      </c>
      <c r="BN33" s="169" t="s">
        <v>73</v>
      </c>
      <c r="BO33" s="169" t="s">
        <v>73</v>
      </c>
      <c r="BP33" s="169" t="s">
        <v>73</v>
      </c>
      <c r="BQ33" s="169" t="s">
        <v>73</v>
      </c>
      <c r="BR33" s="1"/>
      <c r="BS33" s="169" t="s">
        <v>73</v>
      </c>
      <c r="BT33" s="169" t="s">
        <v>73</v>
      </c>
      <c r="BU33" s="169" t="s">
        <v>73</v>
      </c>
      <c r="BV33" s="169" t="s">
        <v>73</v>
      </c>
      <c r="BW33" s="1"/>
      <c r="BX33"/>
      <c r="BY33"/>
    </row>
    <row r="34" spans="1:77" ht="128" x14ac:dyDescent="0.2">
      <c r="A34" s="168" t="s">
        <v>136</v>
      </c>
      <c r="B34" s="168" t="s">
        <v>179</v>
      </c>
      <c r="C34" s="168" t="s">
        <v>170</v>
      </c>
      <c r="D34" s="169" t="s">
        <v>73</v>
      </c>
      <c r="E34" s="169" t="s">
        <v>72</v>
      </c>
      <c r="F34" s="169" t="s">
        <v>72</v>
      </c>
      <c r="G34" s="169" t="s">
        <v>73</v>
      </c>
      <c r="H34" s="169"/>
      <c r="I34" s="169"/>
      <c r="L34">
        <v>6</v>
      </c>
      <c r="N34" s="169"/>
      <c r="O34" s="169"/>
      <c r="P34" s="169"/>
      <c r="Q34" s="169" t="s">
        <v>73</v>
      </c>
      <c r="R34" s="169" t="s">
        <v>73</v>
      </c>
      <c r="S34" s="169" t="s">
        <v>73</v>
      </c>
      <c r="T34" s="79"/>
      <c r="U34" s="79">
        <v>1</v>
      </c>
      <c r="V34" s="1">
        <v>5</v>
      </c>
      <c r="W34" s="1"/>
      <c r="X34" s="1">
        <v>1</v>
      </c>
      <c r="Y34" s="1">
        <v>5</v>
      </c>
      <c r="Z34" s="169" t="s">
        <v>72</v>
      </c>
      <c r="AA34" s="169" t="s">
        <v>73</v>
      </c>
      <c r="AC34" s="1"/>
      <c r="AE34" s="1"/>
      <c r="AF34" s="1"/>
      <c r="AK34" s="169" t="s">
        <v>73</v>
      </c>
      <c r="AL34" s="169" t="s">
        <v>73</v>
      </c>
      <c r="AN34" s="169" t="s">
        <v>73</v>
      </c>
      <c r="AP34" s="169" t="s">
        <v>73</v>
      </c>
      <c r="AR34" s="169" t="s">
        <v>73</v>
      </c>
      <c r="AT34" s="168" t="s">
        <v>72</v>
      </c>
      <c r="AU34">
        <v>3</v>
      </c>
      <c r="AW34" s="1">
        <v>42</v>
      </c>
      <c r="AX34" s="1">
        <v>42</v>
      </c>
      <c r="AY34" s="169" t="s">
        <v>73</v>
      </c>
      <c r="AZ34" s="169" t="s">
        <v>73</v>
      </c>
      <c r="BA34" s="170" t="s">
        <v>160</v>
      </c>
      <c r="BB34" s="169">
        <v>1829</v>
      </c>
      <c r="BC34" s="102">
        <v>45639.322210648148</v>
      </c>
      <c r="BD34" s="87">
        <v>45639.287627314814</v>
      </c>
      <c r="BE34" s="169" t="s">
        <v>166</v>
      </c>
      <c r="BF34" s="169" t="s">
        <v>78</v>
      </c>
      <c r="BG34" s="169" t="s">
        <v>161</v>
      </c>
      <c r="BH34" s="169" t="s">
        <v>162</v>
      </c>
      <c r="BI34" s="169" t="s">
        <v>171</v>
      </c>
      <c r="BJ34" s="169" t="s">
        <v>171</v>
      </c>
      <c r="BK34" s="169">
        <v>23</v>
      </c>
      <c r="BL34" s="169" t="s">
        <v>73</v>
      </c>
      <c r="BM34" s="169" t="s">
        <v>73</v>
      </c>
      <c r="BN34" s="169" t="s">
        <v>73</v>
      </c>
      <c r="BO34" s="169" t="s">
        <v>73</v>
      </c>
      <c r="BP34" s="169" t="s">
        <v>73</v>
      </c>
      <c r="BQ34" s="169" t="s">
        <v>73</v>
      </c>
      <c r="BR34" s="1"/>
      <c r="BS34" s="169" t="s">
        <v>73</v>
      </c>
      <c r="BT34" s="169" t="s">
        <v>73</v>
      </c>
      <c r="BU34" s="169" t="s">
        <v>73</v>
      </c>
      <c r="BV34" s="169" t="s">
        <v>73</v>
      </c>
      <c r="BW34" s="1"/>
      <c r="BX34"/>
      <c r="BY34"/>
    </row>
    <row r="35" spans="1:77" ht="48" x14ac:dyDescent="0.2">
      <c r="A35" s="168" t="s">
        <v>136</v>
      </c>
      <c r="B35" s="168" t="s">
        <v>180</v>
      </c>
      <c r="C35" s="168" t="s">
        <v>157</v>
      </c>
      <c r="D35" s="169" t="s">
        <v>72</v>
      </c>
      <c r="E35" s="169" t="s">
        <v>72</v>
      </c>
      <c r="F35" s="169" t="s">
        <v>73</v>
      </c>
      <c r="G35" s="169" t="s">
        <v>73</v>
      </c>
      <c r="H35" s="169"/>
      <c r="I35" s="169"/>
      <c r="N35" s="169"/>
      <c r="O35" s="169"/>
      <c r="P35" s="169"/>
      <c r="Q35" s="169" t="s">
        <v>73</v>
      </c>
      <c r="R35" s="169" t="s">
        <v>73</v>
      </c>
      <c r="S35" s="169" t="s">
        <v>73</v>
      </c>
      <c r="T35" s="79">
        <v>4</v>
      </c>
      <c r="U35" s="79">
        <v>3</v>
      </c>
      <c r="V35" s="1"/>
      <c r="W35" s="1">
        <v>4</v>
      </c>
      <c r="X35" s="1">
        <v>3</v>
      </c>
      <c r="Y35" s="1"/>
      <c r="Z35" s="169" t="s">
        <v>73</v>
      </c>
      <c r="AA35" s="169" t="s">
        <v>73</v>
      </c>
      <c r="AC35" s="1"/>
      <c r="AE35" s="1"/>
      <c r="AF35" s="1"/>
      <c r="AK35" s="169" t="s">
        <v>73</v>
      </c>
      <c r="AL35" s="169" t="s">
        <v>73</v>
      </c>
      <c r="AN35" s="169" t="s">
        <v>73</v>
      </c>
      <c r="AP35" s="169" t="s">
        <v>73</v>
      </c>
      <c r="AR35" s="169" t="s">
        <v>73</v>
      </c>
      <c r="AT35" s="168" t="s">
        <v>73</v>
      </c>
      <c r="AW35" s="1">
        <v>0</v>
      </c>
      <c r="AX35" s="1">
        <v>0</v>
      </c>
      <c r="AY35" s="169" t="s">
        <v>73</v>
      </c>
      <c r="AZ35" s="169" t="s">
        <v>73</v>
      </c>
      <c r="BA35" s="170" t="s">
        <v>158</v>
      </c>
      <c r="BB35" s="169">
        <v>1828</v>
      </c>
      <c r="BC35" s="102">
        <v>45638.651747685188</v>
      </c>
      <c r="BD35" s="87">
        <v>45639.807164351849</v>
      </c>
      <c r="BE35" s="169" t="s">
        <v>73</v>
      </c>
      <c r="BF35" s="169" t="s">
        <v>73</v>
      </c>
      <c r="BG35" s="169" t="s">
        <v>73</v>
      </c>
      <c r="BH35" s="169" t="s">
        <v>73</v>
      </c>
      <c r="BI35" s="169" t="s">
        <v>73</v>
      </c>
      <c r="BJ35" s="169" t="s">
        <v>73</v>
      </c>
      <c r="BK35" s="169"/>
      <c r="BL35" s="169" t="s">
        <v>73</v>
      </c>
      <c r="BM35" s="169" t="s">
        <v>73</v>
      </c>
      <c r="BN35" s="169" t="s">
        <v>73</v>
      </c>
      <c r="BO35" s="169" t="s">
        <v>73</v>
      </c>
      <c r="BP35" s="169" t="s">
        <v>73</v>
      </c>
      <c r="BQ35" s="169" t="s">
        <v>73</v>
      </c>
      <c r="BR35" s="1"/>
      <c r="BS35" s="169" t="s">
        <v>73</v>
      </c>
      <c r="BT35" s="169" t="s">
        <v>73</v>
      </c>
      <c r="BU35" s="169" t="s">
        <v>73</v>
      </c>
      <c r="BV35" s="169" t="s">
        <v>73</v>
      </c>
      <c r="BW35" s="1"/>
      <c r="BX35"/>
      <c r="BY35"/>
    </row>
    <row r="36" spans="1:77" ht="128" x14ac:dyDescent="0.2">
      <c r="A36" s="168" t="s">
        <v>136</v>
      </c>
      <c r="B36" s="168" t="s">
        <v>181</v>
      </c>
      <c r="C36" s="168" t="s">
        <v>159</v>
      </c>
      <c r="D36" s="169" t="s">
        <v>73</v>
      </c>
      <c r="E36" s="169" t="s">
        <v>72</v>
      </c>
      <c r="F36" s="169" t="s">
        <v>73</v>
      </c>
      <c r="G36" s="169" t="s">
        <v>73</v>
      </c>
      <c r="H36" s="169"/>
      <c r="I36" s="169">
        <v>7</v>
      </c>
      <c r="N36" s="169"/>
      <c r="O36" s="169"/>
      <c r="P36" s="169"/>
      <c r="Q36" s="169" t="s">
        <v>73</v>
      </c>
      <c r="R36" s="169" t="s">
        <v>73</v>
      </c>
      <c r="S36" s="169" t="s">
        <v>73</v>
      </c>
      <c r="T36" s="79">
        <v>1</v>
      </c>
      <c r="U36" s="79"/>
      <c r="V36" s="1"/>
      <c r="W36" s="1">
        <v>1</v>
      </c>
      <c r="X36" s="1"/>
      <c r="Y36" s="1"/>
      <c r="Z36" s="169" t="s">
        <v>72</v>
      </c>
      <c r="AA36" s="169" t="s">
        <v>73</v>
      </c>
      <c r="AC36" s="1"/>
      <c r="AE36" s="1"/>
      <c r="AF36" s="1"/>
      <c r="AK36" s="169" t="s">
        <v>73</v>
      </c>
      <c r="AL36" s="169" t="s">
        <v>72</v>
      </c>
      <c r="AM36">
        <v>6</v>
      </c>
      <c r="AN36" s="169" t="s">
        <v>72</v>
      </c>
      <c r="AO36">
        <v>6</v>
      </c>
      <c r="AP36" s="169" t="s">
        <v>73</v>
      </c>
      <c r="AR36" s="169" t="s">
        <v>72</v>
      </c>
      <c r="AS36">
        <v>6</v>
      </c>
      <c r="AT36" s="168" t="s">
        <v>73</v>
      </c>
      <c r="AW36" s="1">
        <v>90</v>
      </c>
      <c r="AX36" s="1">
        <v>0</v>
      </c>
      <c r="AY36" s="169" t="s">
        <v>73</v>
      </c>
      <c r="AZ36" s="169" t="s">
        <v>73</v>
      </c>
      <c r="BA36" s="170" t="s">
        <v>160</v>
      </c>
      <c r="BB36" s="169">
        <v>1825</v>
      </c>
      <c r="BC36" s="102">
        <v>45637.585219907407</v>
      </c>
      <c r="BD36" s="87">
        <v>45637.543553240743</v>
      </c>
      <c r="BE36" s="169" t="s">
        <v>159</v>
      </c>
      <c r="BF36" s="169" t="s">
        <v>78</v>
      </c>
      <c r="BG36" s="169" t="s">
        <v>161</v>
      </c>
      <c r="BH36" s="169" t="s">
        <v>162</v>
      </c>
      <c r="BI36" s="169" t="s">
        <v>163</v>
      </c>
      <c r="BJ36" s="169" t="s">
        <v>163</v>
      </c>
      <c r="BK36" s="169">
        <v>62</v>
      </c>
      <c r="BL36" s="169" t="s">
        <v>73</v>
      </c>
      <c r="BM36" s="169" t="s">
        <v>73</v>
      </c>
      <c r="BN36" s="169" t="s">
        <v>73</v>
      </c>
      <c r="BO36" s="169" t="s">
        <v>73</v>
      </c>
      <c r="BP36" s="169" t="s">
        <v>73</v>
      </c>
      <c r="BQ36" s="169" t="s">
        <v>73</v>
      </c>
      <c r="BR36" s="1"/>
      <c r="BS36" s="169" t="s">
        <v>73</v>
      </c>
      <c r="BT36" s="169" t="s">
        <v>73</v>
      </c>
      <c r="BU36" s="169" t="s">
        <v>73</v>
      </c>
      <c r="BV36" s="169" t="s">
        <v>73</v>
      </c>
      <c r="BW36" s="1"/>
      <c r="BX36"/>
      <c r="BY36"/>
    </row>
    <row r="37" spans="1:77" ht="16" x14ac:dyDescent="0.2">
      <c r="A37" s="168" t="s">
        <v>136</v>
      </c>
      <c r="B37" s="168" t="s">
        <v>182</v>
      </c>
      <c r="C37" s="168" t="s">
        <v>150</v>
      </c>
      <c r="D37" s="169" t="s">
        <v>73</v>
      </c>
      <c r="E37" s="169" t="s">
        <v>72</v>
      </c>
      <c r="F37" s="169" t="s">
        <v>72</v>
      </c>
      <c r="G37" s="169" t="s">
        <v>73</v>
      </c>
      <c r="H37" s="169"/>
      <c r="I37" s="169">
        <v>3</v>
      </c>
      <c r="N37" s="169"/>
      <c r="O37" s="169"/>
      <c r="P37" s="169"/>
      <c r="Q37" s="169" t="s">
        <v>73</v>
      </c>
      <c r="R37" s="169" t="s">
        <v>73</v>
      </c>
      <c r="S37" s="169" t="s">
        <v>73</v>
      </c>
      <c r="T37" s="79"/>
      <c r="U37" s="79"/>
      <c r="V37" s="1"/>
      <c r="W37" s="1"/>
      <c r="X37" s="1"/>
      <c r="Y37" s="1"/>
      <c r="Z37" s="169" t="s">
        <v>73</v>
      </c>
      <c r="AA37" s="169" t="s">
        <v>73</v>
      </c>
      <c r="AC37" s="1"/>
      <c r="AE37" s="1"/>
      <c r="AF37" s="1"/>
      <c r="AK37" s="169" t="s">
        <v>73</v>
      </c>
      <c r="AL37" s="169" t="s">
        <v>72</v>
      </c>
      <c r="AM37">
        <v>6</v>
      </c>
      <c r="AN37" s="169" t="s">
        <v>72</v>
      </c>
      <c r="AO37">
        <v>6</v>
      </c>
      <c r="AP37" s="169" t="s">
        <v>73</v>
      </c>
      <c r="AR37" s="169" t="s">
        <v>72</v>
      </c>
      <c r="AS37">
        <v>3</v>
      </c>
      <c r="AT37" s="168" t="s">
        <v>73</v>
      </c>
      <c r="AW37" s="1">
        <v>30</v>
      </c>
      <c r="AX37" s="1">
        <v>2</v>
      </c>
      <c r="AY37" s="169" t="s">
        <v>73</v>
      </c>
      <c r="AZ37" s="169" t="s">
        <v>73</v>
      </c>
      <c r="BA37" s="170" t="s">
        <v>73</v>
      </c>
      <c r="BB37" s="169">
        <v>1818</v>
      </c>
      <c r="BC37" s="102">
        <v>45634.991388888891</v>
      </c>
      <c r="BD37" s="87">
        <v>45634.94972222222</v>
      </c>
      <c r="BE37" s="169" t="s">
        <v>73</v>
      </c>
      <c r="BF37" s="169" t="s">
        <v>73</v>
      </c>
      <c r="BG37" s="169" t="s">
        <v>73</v>
      </c>
      <c r="BH37" s="169" t="s">
        <v>73</v>
      </c>
      <c r="BI37" s="169" t="s">
        <v>73</v>
      </c>
      <c r="BJ37" s="169" t="s">
        <v>73</v>
      </c>
      <c r="BK37" s="169"/>
      <c r="BL37" s="169" t="s">
        <v>73</v>
      </c>
      <c r="BM37" s="169" t="s">
        <v>73</v>
      </c>
      <c r="BN37" s="169" t="s">
        <v>73</v>
      </c>
      <c r="BO37" s="169" t="s">
        <v>73</v>
      </c>
      <c r="BP37" s="169" t="s">
        <v>73</v>
      </c>
      <c r="BQ37" s="169" t="s">
        <v>73</v>
      </c>
      <c r="BR37" s="1"/>
      <c r="BS37" s="169" t="s">
        <v>73</v>
      </c>
      <c r="BT37" s="169" t="s">
        <v>73</v>
      </c>
      <c r="BU37" s="169" t="s">
        <v>73</v>
      </c>
      <c r="BV37" s="169" t="s">
        <v>73</v>
      </c>
      <c r="BW37" s="1"/>
      <c r="BX37"/>
      <c r="BY37"/>
    </row>
    <row r="38" spans="1:77" ht="16" x14ac:dyDescent="0.2">
      <c r="A38" s="168" t="s">
        <v>136</v>
      </c>
      <c r="B38" s="168" t="s">
        <v>183</v>
      </c>
      <c r="C38" s="168" t="s">
        <v>137</v>
      </c>
      <c r="D38" s="169" t="s">
        <v>73</v>
      </c>
      <c r="E38" s="169" t="s">
        <v>72</v>
      </c>
      <c r="F38" s="169" t="s">
        <v>72</v>
      </c>
      <c r="G38" s="169" t="s">
        <v>73</v>
      </c>
      <c r="H38" s="169"/>
      <c r="I38" s="169"/>
      <c r="N38" s="169"/>
      <c r="O38" s="169"/>
      <c r="P38" s="169"/>
      <c r="Q38" s="169" t="s">
        <v>73</v>
      </c>
      <c r="R38" s="169" t="s">
        <v>73</v>
      </c>
      <c r="S38" s="169" t="s">
        <v>73</v>
      </c>
      <c r="T38" s="79"/>
      <c r="U38" s="79"/>
      <c r="V38" s="1"/>
      <c r="W38" s="1"/>
      <c r="X38" s="1"/>
      <c r="Y38" s="1"/>
      <c r="Z38" s="169" t="s">
        <v>73</v>
      </c>
      <c r="AA38" s="169" t="s">
        <v>73</v>
      </c>
      <c r="AC38" s="1"/>
      <c r="AE38" s="1"/>
      <c r="AF38" s="1"/>
      <c r="AK38" s="169" t="s">
        <v>73</v>
      </c>
      <c r="AL38" s="169" t="s">
        <v>72</v>
      </c>
      <c r="AM38">
        <v>6</v>
      </c>
      <c r="AN38" s="169" t="s">
        <v>72</v>
      </c>
      <c r="AO38">
        <v>4</v>
      </c>
      <c r="AP38" s="169" t="s">
        <v>73</v>
      </c>
      <c r="AR38" s="169" t="s">
        <v>72</v>
      </c>
      <c r="AS38">
        <v>6</v>
      </c>
      <c r="AT38" s="168" t="s">
        <v>73</v>
      </c>
      <c r="AW38" s="1">
        <v>25</v>
      </c>
      <c r="AX38" s="1">
        <v>1</v>
      </c>
      <c r="AY38" s="169" t="s">
        <v>73</v>
      </c>
      <c r="AZ38" s="169" t="s">
        <v>73</v>
      </c>
      <c r="BA38" s="170" t="s">
        <v>73</v>
      </c>
      <c r="BB38" s="169">
        <v>1812</v>
      </c>
      <c r="BC38" s="102">
        <v>45630.948182870372</v>
      </c>
      <c r="BD38" s="87">
        <v>45631.711759259262</v>
      </c>
      <c r="BE38" s="169" t="s">
        <v>73</v>
      </c>
      <c r="BF38" s="169" t="s">
        <v>73</v>
      </c>
      <c r="BG38" s="169" t="s">
        <v>73</v>
      </c>
      <c r="BH38" s="169" t="s">
        <v>73</v>
      </c>
      <c r="BI38" s="169" t="s">
        <v>73</v>
      </c>
      <c r="BJ38" s="169" t="s">
        <v>73</v>
      </c>
      <c r="BK38" s="169"/>
      <c r="BL38" s="169" t="s">
        <v>73</v>
      </c>
      <c r="BM38" s="169" t="s">
        <v>73</v>
      </c>
      <c r="BN38" s="169" t="s">
        <v>73</v>
      </c>
      <c r="BO38" s="169" t="s">
        <v>73</v>
      </c>
      <c r="BP38" s="169" t="s">
        <v>73</v>
      </c>
      <c r="BQ38" s="169" t="s">
        <v>73</v>
      </c>
      <c r="BR38" s="1"/>
      <c r="BS38" s="169" t="s">
        <v>73</v>
      </c>
      <c r="BT38" s="169" t="s">
        <v>73</v>
      </c>
      <c r="BU38" s="169" t="s">
        <v>73</v>
      </c>
      <c r="BV38" s="169" t="s">
        <v>73</v>
      </c>
      <c r="BW38" s="1"/>
      <c r="BX38"/>
      <c r="BY38"/>
    </row>
    <row r="39" spans="1:77" ht="16" x14ac:dyDescent="0.2">
      <c r="A39" s="168" t="s">
        <v>138</v>
      </c>
      <c r="B39" s="168" t="s">
        <v>247</v>
      </c>
      <c r="C39" s="168" t="s">
        <v>248</v>
      </c>
      <c r="D39" s="169" t="s">
        <v>73</v>
      </c>
      <c r="E39" s="169" t="s">
        <v>72</v>
      </c>
      <c r="F39" s="169" t="s">
        <v>72</v>
      </c>
      <c r="G39" s="169" t="s">
        <v>73</v>
      </c>
      <c r="H39" s="169"/>
      <c r="I39" s="169">
        <v>8</v>
      </c>
      <c r="N39" s="169"/>
      <c r="O39" s="169"/>
      <c r="P39" s="169"/>
      <c r="Q39" s="169" t="s">
        <v>73</v>
      </c>
      <c r="R39" s="169" t="s">
        <v>73</v>
      </c>
      <c r="S39" s="169" t="s">
        <v>73</v>
      </c>
      <c r="T39" s="79"/>
      <c r="U39" s="79"/>
      <c r="V39" s="1"/>
      <c r="W39" s="1"/>
      <c r="X39" s="1"/>
      <c r="Y39" s="1"/>
      <c r="Z39" s="169" t="s">
        <v>73</v>
      </c>
      <c r="AA39" s="169" t="s">
        <v>73</v>
      </c>
      <c r="AC39" s="1"/>
      <c r="AE39" s="1"/>
      <c r="AF39" s="1"/>
      <c r="AK39" s="169" t="s">
        <v>73</v>
      </c>
      <c r="AL39" s="169" t="s">
        <v>73</v>
      </c>
      <c r="AN39" s="169" t="s">
        <v>73</v>
      </c>
      <c r="AP39" s="169" t="s">
        <v>73</v>
      </c>
      <c r="AR39" s="169" t="s">
        <v>73</v>
      </c>
      <c r="AT39" s="168" t="s">
        <v>72</v>
      </c>
      <c r="AU39">
        <v>1</v>
      </c>
      <c r="AW39" s="1">
        <v>35</v>
      </c>
      <c r="AX39" s="1">
        <v>4</v>
      </c>
      <c r="AY39" s="169" t="s">
        <v>73</v>
      </c>
      <c r="AZ39" s="169" t="s">
        <v>73</v>
      </c>
      <c r="BA39" s="170" t="s">
        <v>73</v>
      </c>
      <c r="BB39" s="169">
        <v>1889</v>
      </c>
      <c r="BC39" s="102">
        <v>45647.568692129629</v>
      </c>
      <c r="BD39" s="87">
        <v>45647.527025462965</v>
      </c>
      <c r="BE39" s="169" t="s">
        <v>73</v>
      </c>
      <c r="BF39" s="169" t="s">
        <v>73</v>
      </c>
      <c r="BG39" s="169" t="s">
        <v>73</v>
      </c>
      <c r="BH39" s="169" t="s">
        <v>73</v>
      </c>
      <c r="BI39" s="169" t="s">
        <v>73</v>
      </c>
      <c r="BJ39" s="169" t="s">
        <v>73</v>
      </c>
      <c r="BK39" s="169"/>
      <c r="BL39" s="169" t="s">
        <v>73</v>
      </c>
      <c r="BM39" s="169" t="s">
        <v>73</v>
      </c>
      <c r="BN39" s="169" t="s">
        <v>73</v>
      </c>
      <c r="BO39" s="169" t="s">
        <v>73</v>
      </c>
      <c r="BP39" s="169" t="s">
        <v>73</v>
      </c>
      <c r="BQ39" s="169" t="s">
        <v>73</v>
      </c>
      <c r="BR39" s="1"/>
      <c r="BS39" s="169" t="s">
        <v>73</v>
      </c>
      <c r="BT39" s="169" t="s">
        <v>73</v>
      </c>
      <c r="BU39" s="169" t="s">
        <v>73</v>
      </c>
      <c r="BV39" s="169" t="s">
        <v>73</v>
      </c>
      <c r="BW39" s="1"/>
      <c r="BX39"/>
      <c r="BY39"/>
    </row>
    <row r="40" spans="1:77" ht="16" x14ac:dyDescent="0.2">
      <c r="A40" s="168" t="s">
        <v>138</v>
      </c>
      <c r="B40" s="168" t="s">
        <v>249</v>
      </c>
      <c r="C40" s="168" t="s">
        <v>250</v>
      </c>
      <c r="D40" s="169" t="s">
        <v>73</v>
      </c>
      <c r="E40" s="169" t="s">
        <v>72</v>
      </c>
      <c r="F40" s="169" t="s">
        <v>72</v>
      </c>
      <c r="G40" s="169" t="s">
        <v>73</v>
      </c>
      <c r="H40" s="169"/>
      <c r="I40" s="169">
        <v>7</v>
      </c>
      <c r="J40">
        <v>3</v>
      </c>
      <c r="N40" s="169"/>
      <c r="O40" s="169"/>
      <c r="P40" s="169"/>
      <c r="Q40" s="169" t="s">
        <v>73</v>
      </c>
      <c r="R40" s="169" t="s">
        <v>73</v>
      </c>
      <c r="S40" s="169" t="s">
        <v>73</v>
      </c>
      <c r="T40" s="79"/>
      <c r="U40" s="79">
        <v>1</v>
      </c>
      <c r="V40" s="1"/>
      <c r="W40" s="1"/>
      <c r="X40" s="1">
        <v>1</v>
      </c>
      <c r="Y40" s="1"/>
      <c r="Z40" s="169" t="s">
        <v>72</v>
      </c>
      <c r="AA40" s="169" t="s">
        <v>73</v>
      </c>
      <c r="AC40" s="1"/>
      <c r="AE40" s="1"/>
      <c r="AF40" s="1"/>
      <c r="AK40" s="169" t="s">
        <v>73</v>
      </c>
      <c r="AL40" s="169" t="s">
        <v>72</v>
      </c>
      <c r="AM40">
        <v>6</v>
      </c>
      <c r="AN40" s="169" t="s">
        <v>73</v>
      </c>
      <c r="AP40" s="169" t="s">
        <v>73</v>
      </c>
      <c r="AR40" s="169" t="s">
        <v>72</v>
      </c>
      <c r="AS40">
        <v>5</v>
      </c>
      <c r="AT40" s="168" t="s">
        <v>72</v>
      </c>
      <c r="AU40">
        <v>2</v>
      </c>
      <c r="AW40" s="1">
        <v>25</v>
      </c>
      <c r="AX40" s="1">
        <v>4</v>
      </c>
      <c r="AY40" s="169" t="s">
        <v>73</v>
      </c>
      <c r="AZ40" s="169" t="s">
        <v>73</v>
      </c>
      <c r="BA40" s="170" t="s">
        <v>73</v>
      </c>
      <c r="BB40" s="169">
        <v>1888</v>
      </c>
      <c r="BC40" s="102">
        <v>45647.561111111114</v>
      </c>
      <c r="BD40" s="87">
        <v>45647.519444444442</v>
      </c>
      <c r="BE40" s="169" t="s">
        <v>250</v>
      </c>
      <c r="BF40" s="169" t="s">
        <v>251</v>
      </c>
      <c r="BG40" s="169" t="s">
        <v>76</v>
      </c>
      <c r="BH40" s="169" t="s">
        <v>252</v>
      </c>
      <c r="BI40" s="169" t="s">
        <v>253</v>
      </c>
      <c r="BJ40" s="169" t="s">
        <v>253</v>
      </c>
      <c r="BK40" s="169">
        <v>8</v>
      </c>
      <c r="BL40" s="169" t="s">
        <v>73</v>
      </c>
      <c r="BM40" s="169" t="s">
        <v>73</v>
      </c>
      <c r="BN40" s="169" t="s">
        <v>73</v>
      </c>
      <c r="BO40" s="169" t="s">
        <v>73</v>
      </c>
      <c r="BP40" s="169" t="s">
        <v>73</v>
      </c>
      <c r="BQ40" s="169" t="s">
        <v>73</v>
      </c>
      <c r="BR40" s="1"/>
      <c r="BS40" s="169" t="s">
        <v>73</v>
      </c>
      <c r="BT40" s="169" t="s">
        <v>73</v>
      </c>
      <c r="BU40" s="169" t="s">
        <v>73</v>
      </c>
      <c r="BV40" s="169" t="s">
        <v>73</v>
      </c>
      <c r="BW40" s="1"/>
      <c r="BX40"/>
      <c r="BY40"/>
    </row>
    <row r="41" spans="1:77" ht="16" x14ac:dyDescent="0.2">
      <c r="A41" s="168" t="s">
        <v>138</v>
      </c>
      <c r="B41" s="168" t="s">
        <v>241</v>
      </c>
      <c r="C41" s="168" t="s">
        <v>242</v>
      </c>
      <c r="D41" s="169" t="s">
        <v>73</v>
      </c>
      <c r="E41" s="169" t="s">
        <v>72</v>
      </c>
      <c r="F41" s="169" t="s">
        <v>72</v>
      </c>
      <c r="G41" s="169" t="s">
        <v>73</v>
      </c>
      <c r="H41" s="169" t="s">
        <v>72</v>
      </c>
      <c r="I41" s="169">
        <v>6</v>
      </c>
      <c r="J41">
        <v>3</v>
      </c>
      <c r="N41" s="169"/>
      <c r="O41" s="169"/>
      <c r="P41" s="169"/>
      <c r="Q41" s="169" t="s">
        <v>73</v>
      </c>
      <c r="R41" s="169" t="s">
        <v>73</v>
      </c>
      <c r="S41" s="169" t="s">
        <v>73</v>
      </c>
      <c r="T41" s="79">
        <v>1</v>
      </c>
      <c r="U41" s="79"/>
      <c r="V41" s="1"/>
      <c r="W41" s="1">
        <v>1</v>
      </c>
      <c r="X41" s="1"/>
      <c r="Y41" s="1"/>
      <c r="Z41" s="169" t="s">
        <v>73</v>
      </c>
      <c r="AA41" s="169" t="s">
        <v>73</v>
      </c>
      <c r="AC41" s="1"/>
      <c r="AE41" s="1"/>
      <c r="AF41" s="1"/>
      <c r="AK41" s="169" t="s">
        <v>73</v>
      </c>
      <c r="AL41" s="169" t="s">
        <v>72</v>
      </c>
      <c r="AM41">
        <v>6</v>
      </c>
      <c r="AN41" s="169" t="s">
        <v>72</v>
      </c>
      <c r="AO41">
        <v>6</v>
      </c>
      <c r="AP41" s="169" t="s">
        <v>73</v>
      </c>
      <c r="AR41" s="169" t="s">
        <v>72</v>
      </c>
      <c r="AS41">
        <v>6</v>
      </c>
      <c r="AT41" s="168" t="s">
        <v>72</v>
      </c>
      <c r="AU41">
        <v>4</v>
      </c>
      <c r="AW41" s="1">
        <v>46</v>
      </c>
      <c r="AX41" s="1">
        <v>18</v>
      </c>
      <c r="AY41" s="169" t="s">
        <v>73</v>
      </c>
      <c r="AZ41" s="169" t="s">
        <v>73</v>
      </c>
      <c r="BA41" s="170" t="s">
        <v>73</v>
      </c>
      <c r="BB41" s="169">
        <v>1886</v>
      </c>
      <c r="BC41" s="102">
        <v>45647.555879629632</v>
      </c>
      <c r="BD41" s="87">
        <v>45647.51421296296</v>
      </c>
      <c r="BE41" s="169" t="s">
        <v>73</v>
      </c>
      <c r="BF41" s="169" t="s">
        <v>73</v>
      </c>
      <c r="BG41" s="169" t="s">
        <v>73</v>
      </c>
      <c r="BH41" s="169" t="s">
        <v>73</v>
      </c>
      <c r="BI41" s="169" t="s">
        <v>73</v>
      </c>
      <c r="BJ41" s="169" t="s">
        <v>73</v>
      </c>
      <c r="BK41" s="169"/>
      <c r="BL41" s="169" t="s">
        <v>73</v>
      </c>
      <c r="BM41" s="169" t="s">
        <v>73</v>
      </c>
      <c r="BN41" s="169" t="s">
        <v>73</v>
      </c>
      <c r="BO41" s="169" t="s">
        <v>73</v>
      </c>
      <c r="BP41" s="169" t="s">
        <v>73</v>
      </c>
      <c r="BQ41" s="169" t="s">
        <v>73</v>
      </c>
      <c r="BR41" s="1"/>
      <c r="BS41" s="169" t="s">
        <v>73</v>
      </c>
      <c r="BT41" s="169" t="s">
        <v>73</v>
      </c>
      <c r="BU41" s="169" t="s">
        <v>73</v>
      </c>
      <c r="BV41" s="169" t="s">
        <v>73</v>
      </c>
      <c r="BW41" s="1"/>
      <c r="BX41"/>
      <c r="BY41"/>
    </row>
    <row r="42" spans="1:77" ht="16" x14ac:dyDescent="0.2">
      <c r="A42" s="168" t="s">
        <v>138</v>
      </c>
      <c r="B42" s="168" t="s">
        <v>244</v>
      </c>
      <c r="C42" s="168" t="s">
        <v>245</v>
      </c>
      <c r="D42" s="169" t="s">
        <v>73</v>
      </c>
      <c r="E42" s="169" t="s">
        <v>72</v>
      </c>
      <c r="F42" s="169" t="s">
        <v>72</v>
      </c>
      <c r="G42" s="169" t="s">
        <v>73</v>
      </c>
      <c r="H42" s="169"/>
      <c r="I42" s="169">
        <v>7</v>
      </c>
      <c r="N42" s="169"/>
      <c r="O42" s="169"/>
      <c r="P42" s="169"/>
      <c r="Q42" s="169" t="s">
        <v>73</v>
      </c>
      <c r="R42" s="169" t="s">
        <v>73</v>
      </c>
      <c r="S42" s="169" t="s">
        <v>73</v>
      </c>
      <c r="T42" s="79">
        <v>2</v>
      </c>
      <c r="U42" s="79"/>
      <c r="V42" s="1"/>
      <c r="W42" s="1">
        <v>2</v>
      </c>
      <c r="X42" s="1"/>
      <c r="Y42" s="1"/>
      <c r="Z42" s="169" t="s">
        <v>72</v>
      </c>
      <c r="AA42" s="169" t="s">
        <v>73</v>
      </c>
      <c r="AC42" s="1">
        <v>2</v>
      </c>
      <c r="AE42" s="1"/>
      <c r="AF42" s="1"/>
      <c r="AG42">
        <v>2</v>
      </c>
      <c r="AK42" s="169" t="s">
        <v>73</v>
      </c>
      <c r="AL42" s="169" t="s">
        <v>72</v>
      </c>
      <c r="AM42">
        <v>6</v>
      </c>
      <c r="AN42" s="169" t="s">
        <v>72</v>
      </c>
      <c r="AO42">
        <v>6</v>
      </c>
      <c r="AP42" s="169" t="s">
        <v>73</v>
      </c>
      <c r="AR42" s="169" t="s">
        <v>72</v>
      </c>
      <c r="AS42">
        <v>6</v>
      </c>
      <c r="AT42" s="168" t="s">
        <v>72</v>
      </c>
      <c r="AU42">
        <v>1</v>
      </c>
      <c r="AW42" s="1">
        <v>75</v>
      </c>
      <c r="AX42" s="1">
        <v>5</v>
      </c>
      <c r="AY42" s="169" t="s">
        <v>73</v>
      </c>
      <c r="AZ42" s="169" t="s">
        <v>73</v>
      </c>
      <c r="BA42" s="170" t="s">
        <v>73</v>
      </c>
      <c r="BB42" s="169">
        <v>1881</v>
      </c>
      <c r="BC42" s="102">
        <v>45647.422800925924</v>
      </c>
      <c r="BD42" s="87">
        <v>45647.44159722222</v>
      </c>
      <c r="BE42" s="169" t="s">
        <v>245</v>
      </c>
      <c r="BF42" s="169" t="s">
        <v>78</v>
      </c>
      <c r="BG42" s="169" t="s">
        <v>215</v>
      </c>
      <c r="BH42" s="169" t="s">
        <v>162</v>
      </c>
      <c r="BI42" s="169" t="s">
        <v>246</v>
      </c>
      <c r="BJ42" s="169" t="s">
        <v>246</v>
      </c>
      <c r="BK42" s="169">
        <v>35</v>
      </c>
      <c r="BL42" s="169" t="s">
        <v>73</v>
      </c>
      <c r="BM42" s="169" t="s">
        <v>73</v>
      </c>
      <c r="BN42" s="169" t="s">
        <v>73</v>
      </c>
      <c r="BO42" s="169" t="s">
        <v>73</v>
      </c>
      <c r="BP42" s="169" t="s">
        <v>73</v>
      </c>
      <c r="BQ42" s="169" t="s">
        <v>73</v>
      </c>
      <c r="BR42" s="1"/>
      <c r="BS42" s="169" t="s">
        <v>73</v>
      </c>
      <c r="BT42" s="169" t="s">
        <v>73</v>
      </c>
      <c r="BU42" s="169" t="s">
        <v>73</v>
      </c>
      <c r="BV42" s="169" t="s">
        <v>73</v>
      </c>
      <c r="BW42" s="1"/>
      <c r="BX42"/>
      <c r="BY42"/>
    </row>
    <row r="43" spans="1:77" ht="16" x14ac:dyDescent="0.2">
      <c r="A43" s="168" t="s">
        <v>138</v>
      </c>
      <c r="B43" s="168" t="s">
        <v>207</v>
      </c>
      <c r="C43" s="168" t="s">
        <v>236</v>
      </c>
      <c r="D43" s="169" t="s">
        <v>73</v>
      </c>
      <c r="E43" s="169" t="s">
        <v>72</v>
      </c>
      <c r="F43" s="169" t="s">
        <v>72</v>
      </c>
      <c r="G43" s="169" t="s">
        <v>73</v>
      </c>
      <c r="H43" s="169"/>
      <c r="I43" s="169">
        <v>7</v>
      </c>
      <c r="N43" s="169"/>
      <c r="O43" s="169"/>
      <c r="P43" s="169"/>
      <c r="Q43" s="169" t="s">
        <v>73</v>
      </c>
      <c r="R43" s="169" t="s">
        <v>73</v>
      </c>
      <c r="S43" s="169" t="s">
        <v>73</v>
      </c>
      <c r="T43" s="79"/>
      <c r="U43" s="79"/>
      <c r="V43" s="1"/>
      <c r="W43" s="1"/>
      <c r="X43" s="1"/>
      <c r="Y43" s="1"/>
      <c r="Z43" s="169" t="s">
        <v>73</v>
      </c>
      <c r="AA43" s="169" t="s">
        <v>73</v>
      </c>
      <c r="AC43" s="1"/>
      <c r="AE43" s="1"/>
      <c r="AF43" s="1"/>
      <c r="AK43" s="169" t="s">
        <v>72</v>
      </c>
      <c r="AL43" s="169" t="s">
        <v>72</v>
      </c>
      <c r="AM43">
        <v>6</v>
      </c>
      <c r="AN43" s="169" t="s">
        <v>72</v>
      </c>
      <c r="AO43">
        <v>6</v>
      </c>
      <c r="AP43" s="169" t="s">
        <v>73</v>
      </c>
      <c r="AR43" s="169" t="s">
        <v>72</v>
      </c>
      <c r="AS43">
        <v>6</v>
      </c>
      <c r="AT43" s="168" t="s">
        <v>73</v>
      </c>
      <c r="AW43" s="1">
        <v>57</v>
      </c>
      <c r="AX43" s="1">
        <v>2</v>
      </c>
      <c r="AY43" s="169" t="s">
        <v>73</v>
      </c>
      <c r="AZ43" s="169" t="s">
        <v>73</v>
      </c>
      <c r="BA43" s="170" t="s">
        <v>73</v>
      </c>
      <c r="BB43" s="169">
        <v>1877</v>
      </c>
      <c r="BC43" s="102">
        <v>45646.491331018522</v>
      </c>
      <c r="BD43" s="87">
        <v>45646.451967592591</v>
      </c>
      <c r="BE43" s="169" t="s">
        <v>73</v>
      </c>
      <c r="BF43" s="169" t="s">
        <v>73</v>
      </c>
      <c r="BG43" s="169" t="s">
        <v>73</v>
      </c>
      <c r="BH43" s="169" t="s">
        <v>73</v>
      </c>
      <c r="BI43" s="169" t="s">
        <v>73</v>
      </c>
      <c r="BJ43" s="169" t="s">
        <v>73</v>
      </c>
      <c r="BK43" s="169"/>
      <c r="BL43" s="169" t="s">
        <v>73</v>
      </c>
      <c r="BM43" s="169" t="s">
        <v>73</v>
      </c>
      <c r="BN43" s="169" t="s">
        <v>73</v>
      </c>
      <c r="BO43" s="169" t="s">
        <v>73</v>
      </c>
      <c r="BP43" s="169" t="s">
        <v>73</v>
      </c>
      <c r="BQ43" s="169" t="s">
        <v>73</v>
      </c>
      <c r="BR43" s="1"/>
      <c r="BS43" s="169" t="s">
        <v>73</v>
      </c>
      <c r="BT43" s="169" t="s">
        <v>73</v>
      </c>
      <c r="BU43" s="169" t="s">
        <v>73</v>
      </c>
      <c r="BV43" s="169" t="s">
        <v>73</v>
      </c>
      <c r="BW43" s="1"/>
      <c r="BX43"/>
      <c r="BY43"/>
    </row>
    <row r="44" spans="1:77" ht="16" x14ac:dyDescent="0.2">
      <c r="A44" s="168" t="s">
        <v>138</v>
      </c>
      <c r="B44" s="168" t="s">
        <v>231</v>
      </c>
      <c r="C44" s="168" t="s">
        <v>232</v>
      </c>
      <c r="D44" s="169" t="s">
        <v>73</v>
      </c>
      <c r="E44" s="169" t="s">
        <v>72</v>
      </c>
      <c r="F44" s="169" t="s">
        <v>72</v>
      </c>
      <c r="G44" s="169" t="s">
        <v>73</v>
      </c>
      <c r="H44" s="169"/>
      <c r="I44" s="169">
        <v>10</v>
      </c>
      <c r="N44" s="169"/>
      <c r="O44" s="169"/>
      <c r="P44" s="169"/>
      <c r="Q44" s="169" t="s">
        <v>73</v>
      </c>
      <c r="R44" s="169" t="s">
        <v>73</v>
      </c>
      <c r="S44" s="169" t="s">
        <v>73</v>
      </c>
      <c r="T44" s="79"/>
      <c r="U44" s="79"/>
      <c r="V44" s="1"/>
      <c r="W44" s="1"/>
      <c r="X44" s="1"/>
      <c r="Y44" s="1"/>
      <c r="Z44" s="169" t="s">
        <v>73</v>
      </c>
      <c r="AA44" s="169" t="s">
        <v>73</v>
      </c>
      <c r="AC44" s="1">
        <v>5</v>
      </c>
      <c r="AE44" s="1"/>
      <c r="AF44" s="1"/>
      <c r="AG44">
        <v>5</v>
      </c>
      <c r="AK44" s="169" t="s">
        <v>72</v>
      </c>
      <c r="AL44" s="169" t="s">
        <v>72</v>
      </c>
      <c r="AM44">
        <v>3</v>
      </c>
      <c r="AN44" s="169" t="s">
        <v>72</v>
      </c>
      <c r="AO44">
        <v>3</v>
      </c>
      <c r="AP44" s="169" t="s">
        <v>73</v>
      </c>
      <c r="AR44" s="169" t="s">
        <v>73</v>
      </c>
      <c r="AT44" s="168" t="s">
        <v>73</v>
      </c>
      <c r="AW44" s="1">
        <v>70</v>
      </c>
      <c r="AX44" s="1">
        <v>5</v>
      </c>
      <c r="AY44" s="169" t="s">
        <v>72</v>
      </c>
      <c r="AZ44" s="169" t="s">
        <v>73</v>
      </c>
      <c r="BA44" s="170" t="s">
        <v>73</v>
      </c>
      <c r="BB44" s="169">
        <v>1874</v>
      </c>
      <c r="BC44" s="102">
        <v>45645.469895833332</v>
      </c>
      <c r="BD44" s="87">
        <v>45645.428229166668</v>
      </c>
      <c r="BE44" s="169" t="s">
        <v>73</v>
      </c>
      <c r="BF44" s="169" t="s">
        <v>73</v>
      </c>
      <c r="BG44" s="169" t="s">
        <v>73</v>
      </c>
      <c r="BH44" s="169" t="s">
        <v>73</v>
      </c>
      <c r="BI44" s="169" t="s">
        <v>73</v>
      </c>
      <c r="BJ44" s="169" t="s">
        <v>73</v>
      </c>
      <c r="BK44" s="169"/>
      <c r="BL44" s="169" t="s">
        <v>73</v>
      </c>
      <c r="BM44" s="169" t="s">
        <v>73</v>
      </c>
      <c r="BN44" s="169" t="s">
        <v>73</v>
      </c>
      <c r="BO44" s="169" t="s">
        <v>73</v>
      </c>
      <c r="BP44" s="169" t="s">
        <v>73</v>
      </c>
      <c r="BQ44" s="169" t="s">
        <v>73</v>
      </c>
      <c r="BR44" s="1"/>
      <c r="BS44" s="169" t="s">
        <v>73</v>
      </c>
      <c r="BT44" s="169" t="s">
        <v>73</v>
      </c>
      <c r="BU44" s="169" t="s">
        <v>73</v>
      </c>
      <c r="BV44" s="169" t="s">
        <v>73</v>
      </c>
      <c r="BW44" s="1"/>
      <c r="BX44"/>
      <c r="BY44"/>
    </row>
    <row r="45" spans="1:77" ht="16" x14ac:dyDescent="0.2">
      <c r="A45" s="168" t="s">
        <v>138</v>
      </c>
      <c r="B45" s="168" t="s">
        <v>237</v>
      </c>
      <c r="C45" s="168" t="s">
        <v>238</v>
      </c>
      <c r="D45" s="169" t="s">
        <v>73</v>
      </c>
      <c r="E45" s="169" t="s">
        <v>72</v>
      </c>
      <c r="F45" s="169" t="s">
        <v>72</v>
      </c>
      <c r="G45" s="169" t="s">
        <v>73</v>
      </c>
      <c r="H45" s="169"/>
      <c r="I45" s="169">
        <v>4</v>
      </c>
      <c r="N45" s="169"/>
      <c r="O45" s="169"/>
      <c r="P45" s="169"/>
      <c r="Q45" s="169" t="s">
        <v>73</v>
      </c>
      <c r="R45" s="169" t="s">
        <v>73</v>
      </c>
      <c r="S45" s="169" t="s">
        <v>73</v>
      </c>
      <c r="T45" s="79"/>
      <c r="U45" s="79"/>
      <c r="V45" s="1"/>
      <c r="W45" s="1"/>
      <c r="X45" s="1"/>
      <c r="Y45" s="1"/>
      <c r="Z45" s="169" t="s">
        <v>73</v>
      </c>
      <c r="AA45" s="169" t="s">
        <v>73</v>
      </c>
      <c r="AC45" s="1"/>
      <c r="AE45" s="1">
        <v>1</v>
      </c>
      <c r="AF45" s="1"/>
      <c r="AI45">
        <v>1</v>
      </c>
      <c r="AK45" s="169" t="s">
        <v>73</v>
      </c>
      <c r="AL45" s="169" t="s">
        <v>72</v>
      </c>
      <c r="AM45">
        <v>6</v>
      </c>
      <c r="AN45" s="169" t="s">
        <v>72</v>
      </c>
      <c r="AO45">
        <v>6</v>
      </c>
      <c r="AP45" s="169" t="s">
        <v>73</v>
      </c>
      <c r="AR45" s="169" t="s">
        <v>72</v>
      </c>
      <c r="AS45">
        <v>6</v>
      </c>
      <c r="AT45" s="168" t="s">
        <v>73</v>
      </c>
      <c r="AW45" s="1">
        <v>6</v>
      </c>
      <c r="AX45" s="1">
        <v>0</v>
      </c>
      <c r="AY45" s="169" t="s">
        <v>73</v>
      </c>
      <c r="AZ45" s="169" t="s">
        <v>73</v>
      </c>
      <c r="BA45" s="170" t="s">
        <v>73</v>
      </c>
      <c r="BB45" s="169">
        <v>1870</v>
      </c>
      <c r="BC45" s="102">
        <v>45645.403946759259</v>
      </c>
      <c r="BD45" s="87">
        <v>45645.362280092595</v>
      </c>
      <c r="BE45" s="169" t="s">
        <v>73</v>
      </c>
      <c r="BF45" s="169" t="s">
        <v>73</v>
      </c>
      <c r="BG45" s="169" t="s">
        <v>73</v>
      </c>
      <c r="BH45" s="169" t="s">
        <v>73</v>
      </c>
      <c r="BI45" s="169" t="s">
        <v>73</v>
      </c>
      <c r="BJ45" s="169" t="s">
        <v>73</v>
      </c>
      <c r="BK45" s="169"/>
      <c r="BL45" s="169" t="s">
        <v>73</v>
      </c>
      <c r="BM45" s="169" t="s">
        <v>73</v>
      </c>
      <c r="BN45" s="169" t="s">
        <v>73</v>
      </c>
      <c r="BO45" s="169" t="s">
        <v>73</v>
      </c>
      <c r="BP45" s="169" t="s">
        <v>73</v>
      </c>
      <c r="BQ45" s="169" t="s">
        <v>73</v>
      </c>
      <c r="BR45" s="1"/>
      <c r="BS45" s="169" t="s">
        <v>73</v>
      </c>
      <c r="BT45" s="169" t="s">
        <v>73</v>
      </c>
      <c r="BU45" s="169" t="s">
        <v>73</v>
      </c>
      <c r="BV45" s="169" t="s">
        <v>73</v>
      </c>
      <c r="BW45" s="1"/>
      <c r="BX45"/>
      <c r="BY45"/>
    </row>
    <row r="46" spans="1:77" ht="16" x14ac:dyDescent="0.2">
      <c r="A46" s="168" t="s">
        <v>138</v>
      </c>
      <c r="B46" s="168" t="s">
        <v>212</v>
      </c>
      <c r="C46" s="168" t="s">
        <v>213</v>
      </c>
      <c r="D46" s="169" t="s">
        <v>73</v>
      </c>
      <c r="E46" s="169" t="s">
        <v>72</v>
      </c>
      <c r="F46" s="169" t="s">
        <v>72</v>
      </c>
      <c r="G46" s="169" t="s">
        <v>73</v>
      </c>
      <c r="H46" s="169"/>
      <c r="I46" s="169">
        <v>6</v>
      </c>
      <c r="N46" s="169"/>
      <c r="O46" s="169"/>
      <c r="P46" s="169"/>
      <c r="Q46" s="169" t="s">
        <v>73</v>
      </c>
      <c r="R46" s="169" t="s">
        <v>73</v>
      </c>
      <c r="S46" s="169" t="s">
        <v>73</v>
      </c>
      <c r="T46" s="79"/>
      <c r="U46" s="79"/>
      <c r="V46" s="1"/>
      <c r="W46" s="1"/>
      <c r="X46" s="1"/>
      <c r="Y46" s="1"/>
      <c r="Z46" s="169" t="s">
        <v>72</v>
      </c>
      <c r="AA46" s="169" t="s">
        <v>73</v>
      </c>
      <c r="AC46" s="1"/>
      <c r="AE46" s="1"/>
      <c r="AF46" s="1"/>
      <c r="AK46" s="169" t="s">
        <v>73</v>
      </c>
      <c r="AL46" s="169" t="s">
        <v>72</v>
      </c>
      <c r="AM46">
        <v>6</v>
      </c>
      <c r="AN46" s="169" t="s">
        <v>72</v>
      </c>
      <c r="AO46">
        <v>6</v>
      </c>
      <c r="AP46" s="169" t="s">
        <v>73</v>
      </c>
      <c r="AR46" s="169" t="s">
        <v>72</v>
      </c>
      <c r="AS46">
        <v>6</v>
      </c>
      <c r="AT46" s="168" t="s">
        <v>73</v>
      </c>
      <c r="AW46" s="1">
        <v>40</v>
      </c>
      <c r="AX46" s="1">
        <v>2</v>
      </c>
      <c r="AY46" s="169" t="s">
        <v>72</v>
      </c>
      <c r="AZ46" s="169" t="s">
        <v>73</v>
      </c>
      <c r="BA46" s="170" t="s">
        <v>73</v>
      </c>
      <c r="BB46" s="169">
        <v>1858</v>
      </c>
      <c r="BC46" s="102">
        <v>45643.915798611109</v>
      </c>
      <c r="BD46" s="87">
        <v>45643.874131944445</v>
      </c>
      <c r="BE46" s="169" t="s">
        <v>213</v>
      </c>
      <c r="BF46" s="169" t="s">
        <v>78</v>
      </c>
      <c r="BG46" s="169" t="s">
        <v>215</v>
      </c>
      <c r="BH46" s="169" t="s">
        <v>216</v>
      </c>
      <c r="BI46" s="169" t="s">
        <v>217</v>
      </c>
      <c r="BJ46" s="169" t="s">
        <v>218</v>
      </c>
      <c r="BK46" s="169">
        <v>10</v>
      </c>
      <c r="BL46" s="169" t="s">
        <v>73</v>
      </c>
      <c r="BM46" s="169" t="s">
        <v>73</v>
      </c>
      <c r="BN46" s="169" t="s">
        <v>73</v>
      </c>
      <c r="BO46" s="169" t="s">
        <v>73</v>
      </c>
      <c r="BP46" s="169" t="s">
        <v>73</v>
      </c>
      <c r="BQ46" s="169" t="s">
        <v>73</v>
      </c>
      <c r="BR46" s="1"/>
      <c r="BS46" s="169" t="s">
        <v>73</v>
      </c>
      <c r="BT46" s="169" t="s">
        <v>73</v>
      </c>
      <c r="BU46" s="169" t="s">
        <v>73</v>
      </c>
      <c r="BV46" s="169" t="s">
        <v>73</v>
      </c>
      <c r="BW46" s="1"/>
      <c r="BX46"/>
      <c r="BY46"/>
    </row>
    <row r="47" spans="1:77" ht="16" x14ac:dyDescent="0.2">
      <c r="A47" s="168" t="s">
        <v>138</v>
      </c>
      <c r="B47" s="168" t="s">
        <v>186</v>
      </c>
      <c r="C47" s="168" t="s">
        <v>187</v>
      </c>
      <c r="D47" s="169" t="s">
        <v>73</v>
      </c>
      <c r="E47" s="169" t="s">
        <v>72</v>
      </c>
      <c r="F47" s="169" t="s">
        <v>73</v>
      </c>
      <c r="G47" s="169" t="s">
        <v>72</v>
      </c>
      <c r="H47" s="169" t="s">
        <v>74</v>
      </c>
      <c r="I47" s="169">
        <v>6</v>
      </c>
      <c r="N47" s="169"/>
      <c r="O47" s="169"/>
      <c r="P47" s="169"/>
      <c r="Q47" s="169" t="s">
        <v>73</v>
      </c>
      <c r="R47" s="169" t="s">
        <v>73</v>
      </c>
      <c r="S47" s="169" t="s">
        <v>73</v>
      </c>
      <c r="T47" s="79">
        <v>1</v>
      </c>
      <c r="U47" s="79"/>
      <c r="V47" s="1"/>
      <c r="W47" s="1">
        <v>1</v>
      </c>
      <c r="X47" s="1"/>
      <c r="Y47" s="1"/>
      <c r="Z47" s="169" t="s">
        <v>73</v>
      </c>
      <c r="AA47" s="169" t="s">
        <v>73</v>
      </c>
      <c r="AB47">
        <v>4</v>
      </c>
      <c r="AC47" s="1">
        <v>5</v>
      </c>
      <c r="AE47" s="1"/>
      <c r="AF47" s="1"/>
      <c r="AG47">
        <v>5</v>
      </c>
      <c r="AK47" s="169" t="s">
        <v>73</v>
      </c>
      <c r="AL47" s="169" t="s">
        <v>73</v>
      </c>
      <c r="AN47" s="169" t="s">
        <v>73</v>
      </c>
      <c r="AP47" s="169" t="s">
        <v>73</v>
      </c>
      <c r="AR47" s="169" t="s">
        <v>73</v>
      </c>
      <c r="AT47" s="168" t="s">
        <v>73</v>
      </c>
      <c r="AW47" s="1">
        <v>90</v>
      </c>
      <c r="AX47" s="1">
        <v>20</v>
      </c>
      <c r="AY47" s="169" t="s">
        <v>72</v>
      </c>
      <c r="AZ47" s="169" t="s">
        <v>73</v>
      </c>
      <c r="BA47" s="170" t="s">
        <v>73</v>
      </c>
      <c r="BB47" s="169">
        <v>1849</v>
      </c>
      <c r="BC47" s="102">
        <v>45642.826678240737</v>
      </c>
      <c r="BD47" s="87">
        <v>45642.785011574073</v>
      </c>
      <c r="BE47" s="169" t="s">
        <v>73</v>
      </c>
      <c r="BF47" s="169" t="s">
        <v>73</v>
      </c>
      <c r="BG47" s="169" t="s">
        <v>73</v>
      </c>
      <c r="BH47" s="169" t="s">
        <v>73</v>
      </c>
      <c r="BI47" s="169" t="s">
        <v>73</v>
      </c>
      <c r="BJ47" s="169" t="s">
        <v>73</v>
      </c>
      <c r="BK47" s="169"/>
      <c r="BL47" s="169" t="s">
        <v>73</v>
      </c>
      <c r="BM47" s="169" t="s">
        <v>73</v>
      </c>
      <c r="BN47" s="169" t="s">
        <v>73</v>
      </c>
      <c r="BO47" s="169" t="s">
        <v>73</v>
      </c>
      <c r="BP47" s="169" t="s">
        <v>73</v>
      </c>
      <c r="BQ47" s="169" t="s">
        <v>73</v>
      </c>
      <c r="BR47" s="1"/>
      <c r="BS47" s="169" t="s">
        <v>75</v>
      </c>
      <c r="BT47" s="169" t="s">
        <v>188</v>
      </c>
      <c r="BU47" s="169" t="s">
        <v>189</v>
      </c>
      <c r="BV47" s="169" t="s">
        <v>190</v>
      </c>
      <c r="BW47" s="1">
        <v>8</v>
      </c>
      <c r="BX47"/>
      <c r="BY47"/>
    </row>
    <row r="48" spans="1:77" ht="16" x14ac:dyDescent="0.2">
      <c r="A48" s="168" t="s">
        <v>138</v>
      </c>
      <c r="B48" s="168" t="s">
        <v>210</v>
      </c>
      <c r="C48" s="168" t="s">
        <v>211</v>
      </c>
      <c r="D48" s="169" t="s">
        <v>73</v>
      </c>
      <c r="E48" s="169" t="s">
        <v>72</v>
      </c>
      <c r="F48" s="169" t="s">
        <v>72</v>
      </c>
      <c r="G48" s="169" t="s">
        <v>73</v>
      </c>
      <c r="H48" s="169"/>
      <c r="I48" s="169">
        <v>5</v>
      </c>
      <c r="J48">
        <v>3</v>
      </c>
      <c r="N48" s="169">
        <v>4</v>
      </c>
      <c r="O48" s="169"/>
      <c r="P48" s="169"/>
      <c r="Q48" s="169" t="s">
        <v>73</v>
      </c>
      <c r="R48" s="169" t="s">
        <v>73</v>
      </c>
      <c r="S48" s="169" t="s">
        <v>73</v>
      </c>
      <c r="T48" s="79">
        <v>3</v>
      </c>
      <c r="U48" s="79">
        <v>1</v>
      </c>
      <c r="V48" s="1"/>
      <c r="W48" s="1">
        <v>3</v>
      </c>
      <c r="X48" s="1">
        <v>1</v>
      </c>
      <c r="Y48" s="1"/>
      <c r="Z48" s="169" t="s">
        <v>72</v>
      </c>
      <c r="AA48" s="169" t="s">
        <v>73</v>
      </c>
      <c r="AC48" s="1"/>
      <c r="AE48" s="1"/>
      <c r="AF48" s="1"/>
      <c r="AK48" s="169" t="s">
        <v>72</v>
      </c>
      <c r="AL48" s="169" t="s">
        <v>73</v>
      </c>
      <c r="AN48" s="169" t="s">
        <v>73</v>
      </c>
      <c r="AP48" s="169" t="s">
        <v>73</v>
      </c>
      <c r="AR48" s="169" t="s">
        <v>73</v>
      </c>
      <c r="AT48" s="168" t="s">
        <v>73</v>
      </c>
      <c r="AW48" s="1">
        <v>32</v>
      </c>
      <c r="AX48" s="1">
        <v>7</v>
      </c>
      <c r="AY48" s="169" t="s">
        <v>73</v>
      </c>
      <c r="AZ48" s="169" t="s">
        <v>73</v>
      </c>
      <c r="BA48" s="170" t="s">
        <v>73</v>
      </c>
      <c r="BB48" s="169">
        <v>1848</v>
      </c>
      <c r="BC48" s="102">
        <v>45642.813136574077</v>
      </c>
      <c r="BD48" s="87">
        <v>45642.771469907406</v>
      </c>
      <c r="BE48" s="169" t="s">
        <v>211</v>
      </c>
      <c r="BF48" s="169" t="s">
        <v>219</v>
      </c>
      <c r="BG48" s="169" t="s">
        <v>215</v>
      </c>
      <c r="BH48" s="169" t="s">
        <v>216</v>
      </c>
      <c r="BI48" s="169" t="s">
        <v>220</v>
      </c>
      <c r="BJ48" s="169" t="s">
        <v>221</v>
      </c>
      <c r="BK48" s="169">
        <v>20</v>
      </c>
      <c r="BL48" s="169" t="s">
        <v>73</v>
      </c>
      <c r="BM48" s="169" t="s">
        <v>73</v>
      </c>
      <c r="BN48" s="169" t="s">
        <v>73</v>
      </c>
      <c r="BO48" s="169" t="s">
        <v>73</v>
      </c>
      <c r="BP48" s="169" t="s">
        <v>73</v>
      </c>
      <c r="BQ48" s="169" t="s">
        <v>73</v>
      </c>
      <c r="BR48" s="1"/>
      <c r="BS48" s="169" t="s">
        <v>73</v>
      </c>
      <c r="BT48" s="169" t="s">
        <v>73</v>
      </c>
      <c r="BU48" s="169" t="s">
        <v>73</v>
      </c>
      <c r="BV48" s="169" t="s">
        <v>73</v>
      </c>
      <c r="BW48" s="1"/>
      <c r="BX48"/>
      <c r="BY48"/>
    </row>
    <row r="49" spans="1:77" ht="16" x14ac:dyDescent="0.2">
      <c r="A49" s="168" t="s">
        <v>138</v>
      </c>
      <c r="B49" s="168" t="s">
        <v>203</v>
      </c>
      <c r="C49" s="168" t="s">
        <v>204</v>
      </c>
      <c r="D49" s="169" t="s">
        <v>73</v>
      </c>
      <c r="E49" s="169" t="s">
        <v>73</v>
      </c>
      <c r="F49" s="169" t="s">
        <v>73</v>
      </c>
      <c r="G49" s="169" t="s">
        <v>73</v>
      </c>
      <c r="H49" s="169"/>
      <c r="I49" s="169"/>
      <c r="N49" s="169"/>
      <c r="O49" s="169"/>
      <c r="P49" s="169"/>
      <c r="Q49" s="169" t="s">
        <v>73</v>
      </c>
      <c r="R49" s="169" t="s">
        <v>73</v>
      </c>
      <c r="S49" s="169" t="s">
        <v>73</v>
      </c>
      <c r="T49" s="79"/>
      <c r="U49" s="79"/>
      <c r="V49" s="1"/>
      <c r="W49" s="1"/>
      <c r="X49" s="1"/>
      <c r="Y49" s="1"/>
      <c r="Z49" s="169" t="s">
        <v>73</v>
      </c>
      <c r="AA49" s="169" t="s">
        <v>73</v>
      </c>
      <c r="AC49" s="1"/>
      <c r="AE49" s="1"/>
      <c r="AF49" s="1"/>
      <c r="AK49" s="169" t="s">
        <v>73</v>
      </c>
      <c r="AL49" s="169" t="s">
        <v>72</v>
      </c>
      <c r="AM49">
        <v>4</v>
      </c>
      <c r="AN49" s="169" t="s">
        <v>72</v>
      </c>
      <c r="AO49">
        <v>4</v>
      </c>
      <c r="AP49" s="169" t="s">
        <v>73</v>
      </c>
      <c r="AR49" s="169" t="s">
        <v>72</v>
      </c>
      <c r="AS49">
        <v>4</v>
      </c>
      <c r="AT49" s="168" t="s">
        <v>73</v>
      </c>
      <c r="AW49" s="1">
        <v>30</v>
      </c>
      <c r="AX49" s="1">
        <v>2</v>
      </c>
      <c r="AY49" s="169" t="s">
        <v>72</v>
      </c>
      <c r="AZ49" s="169" t="s">
        <v>73</v>
      </c>
      <c r="BA49" s="170" t="s">
        <v>73</v>
      </c>
      <c r="BB49" s="169">
        <v>1844</v>
      </c>
      <c r="BC49" s="102">
        <v>45642.667673611111</v>
      </c>
      <c r="BD49" s="87">
        <v>45642.626006944447</v>
      </c>
      <c r="BE49" s="169" t="s">
        <v>73</v>
      </c>
      <c r="BF49" s="169" t="s">
        <v>73</v>
      </c>
      <c r="BG49" s="169" t="s">
        <v>73</v>
      </c>
      <c r="BH49" s="169" t="s">
        <v>73</v>
      </c>
      <c r="BI49" s="169" t="s">
        <v>73</v>
      </c>
      <c r="BJ49" s="169" t="s">
        <v>73</v>
      </c>
      <c r="BK49" s="169"/>
      <c r="BL49" s="169" t="s">
        <v>73</v>
      </c>
      <c r="BM49" s="169" t="s">
        <v>73</v>
      </c>
      <c r="BN49" s="169" t="s">
        <v>73</v>
      </c>
      <c r="BO49" s="169" t="s">
        <v>73</v>
      </c>
      <c r="BP49" s="169" t="s">
        <v>73</v>
      </c>
      <c r="BQ49" s="169" t="s">
        <v>73</v>
      </c>
      <c r="BR49" s="1"/>
      <c r="BS49" s="169" t="s">
        <v>73</v>
      </c>
      <c r="BT49" s="169" t="s">
        <v>73</v>
      </c>
      <c r="BU49" s="169" t="s">
        <v>73</v>
      </c>
      <c r="BV49" s="169" t="s">
        <v>73</v>
      </c>
      <c r="BW49" s="1"/>
      <c r="BX49"/>
      <c r="BY49"/>
    </row>
    <row r="50" spans="1:77" ht="16" x14ac:dyDescent="0.2">
      <c r="A50" s="168" t="s">
        <v>138</v>
      </c>
      <c r="B50" s="168" t="s">
        <v>153</v>
      </c>
      <c r="C50" s="168" t="s">
        <v>154</v>
      </c>
      <c r="D50" s="169" t="s">
        <v>73</v>
      </c>
      <c r="E50" s="169" t="s">
        <v>72</v>
      </c>
      <c r="F50" s="169" t="s">
        <v>73</v>
      </c>
      <c r="G50" s="169" t="s">
        <v>73</v>
      </c>
      <c r="H50" s="169"/>
      <c r="I50" s="169"/>
      <c r="N50" s="169"/>
      <c r="O50" s="169"/>
      <c r="P50" s="169"/>
      <c r="Q50" s="169" t="s">
        <v>73</v>
      </c>
      <c r="R50" s="169" t="s">
        <v>73</v>
      </c>
      <c r="S50" s="169" t="s">
        <v>73</v>
      </c>
      <c r="T50" s="79"/>
      <c r="U50" s="79"/>
      <c r="V50" s="1"/>
      <c r="W50" s="1"/>
      <c r="X50" s="1"/>
      <c r="Y50" s="1"/>
      <c r="Z50" s="169" t="s">
        <v>73</v>
      </c>
      <c r="AA50" s="169" t="s">
        <v>73</v>
      </c>
      <c r="AC50" s="1">
        <v>5</v>
      </c>
      <c r="AE50" s="1"/>
      <c r="AF50" s="1"/>
      <c r="AG50">
        <v>4</v>
      </c>
      <c r="AK50" s="169" t="s">
        <v>73</v>
      </c>
      <c r="AL50" s="169" t="s">
        <v>73</v>
      </c>
      <c r="AN50" s="169" t="s">
        <v>73</v>
      </c>
      <c r="AP50" s="169" t="s">
        <v>73</v>
      </c>
      <c r="AR50" s="169" t="s">
        <v>73</v>
      </c>
      <c r="AT50" s="168" t="s">
        <v>73</v>
      </c>
      <c r="AW50" s="1">
        <v>35</v>
      </c>
      <c r="AX50" s="1">
        <v>10</v>
      </c>
      <c r="AY50" s="169" t="s">
        <v>72</v>
      </c>
      <c r="AZ50" s="169" t="s">
        <v>73</v>
      </c>
      <c r="BA50" s="170" t="s">
        <v>73</v>
      </c>
      <c r="BB50" s="169">
        <v>1838</v>
      </c>
      <c r="BC50" s="102">
        <v>45641.533518518518</v>
      </c>
      <c r="BD50" s="87">
        <v>45641.491851851853</v>
      </c>
      <c r="BE50" s="169" t="s">
        <v>73</v>
      </c>
      <c r="BF50" s="169" t="s">
        <v>73</v>
      </c>
      <c r="BG50" s="169" t="s">
        <v>73</v>
      </c>
      <c r="BH50" s="169" t="s">
        <v>73</v>
      </c>
      <c r="BI50" s="169" t="s">
        <v>73</v>
      </c>
      <c r="BJ50" s="169" t="s">
        <v>73</v>
      </c>
      <c r="BK50" s="169"/>
      <c r="BL50" s="169" t="s">
        <v>73</v>
      </c>
      <c r="BM50" s="169" t="s">
        <v>73</v>
      </c>
      <c r="BN50" s="169" t="s">
        <v>73</v>
      </c>
      <c r="BO50" s="169" t="s">
        <v>73</v>
      </c>
      <c r="BP50" s="169" t="s">
        <v>73</v>
      </c>
      <c r="BQ50" s="169" t="s">
        <v>73</v>
      </c>
      <c r="BR50" s="1"/>
      <c r="BS50" s="169" t="s">
        <v>73</v>
      </c>
      <c r="BT50" s="169" t="s">
        <v>73</v>
      </c>
      <c r="BU50" s="169" t="s">
        <v>73</v>
      </c>
      <c r="BV50" s="169" t="s">
        <v>73</v>
      </c>
      <c r="BW50" s="1"/>
      <c r="BX50"/>
      <c r="BY50"/>
    </row>
    <row r="51" spans="1:77" ht="16" x14ac:dyDescent="0.2">
      <c r="A51" s="168" t="s">
        <v>138</v>
      </c>
      <c r="B51" s="168" t="s">
        <v>172</v>
      </c>
      <c r="C51" s="168" t="s">
        <v>168</v>
      </c>
      <c r="D51" s="169" t="s">
        <v>73</v>
      </c>
      <c r="E51" s="169" t="s">
        <v>72</v>
      </c>
      <c r="F51" s="169" t="s">
        <v>72</v>
      </c>
      <c r="G51" s="169" t="s">
        <v>73</v>
      </c>
      <c r="H51" s="169" t="s">
        <v>72</v>
      </c>
      <c r="I51" s="169">
        <v>10</v>
      </c>
      <c r="J51">
        <v>3</v>
      </c>
      <c r="L51">
        <v>6</v>
      </c>
      <c r="N51" s="169"/>
      <c r="O51" s="169"/>
      <c r="P51" s="169"/>
      <c r="Q51" s="169" t="s">
        <v>73</v>
      </c>
      <c r="R51" s="169" t="s">
        <v>73</v>
      </c>
      <c r="S51" s="169" t="s">
        <v>73</v>
      </c>
      <c r="T51" s="79"/>
      <c r="U51" s="79"/>
      <c r="V51" s="1"/>
      <c r="W51" s="1"/>
      <c r="X51" s="1"/>
      <c r="Y51" s="1"/>
      <c r="Z51" s="169" t="s">
        <v>73</v>
      </c>
      <c r="AA51" s="169" t="s">
        <v>73</v>
      </c>
      <c r="AB51">
        <v>1</v>
      </c>
      <c r="AC51" s="1">
        <v>11</v>
      </c>
      <c r="AE51" s="1"/>
      <c r="AF51" s="1">
        <v>4</v>
      </c>
      <c r="AG51">
        <v>11</v>
      </c>
      <c r="AJ51">
        <v>4</v>
      </c>
      <c r="AK51" s="169" t="s">
        <v>73</v>
      </c>
      <c r="AL51" s="169" t="s">
        <v>73</v>
      </c>
      <c r="AN51" s="169" t="s">
        <v>73</v>
      </c>
      <c r="AP51" s="169" t="s">
        <v>73</v>
      </c>
      <c r="AR51" s="169" t="s">
        <v>73</v>
      </c>
      <c r="AT51" s="168" t="s">
        <v>73</v>
      </c>
      <c r="AW51" s="1">
        <v>105</v>
      </c>
      <c r="AX51" s="1">
        <v>26</v>
      </c>
      <c r="AY51" s="169" t="s">
        <v>73</v>
      </c>
      <c r="AZ51" s="169" t="s">
        <v>73</v>
      </c>
      <c r="BA51" s="170" t="s">
        <v>73</v>
      </c>
      <c r="BB51" s="169">
        <v>1834</v>
      </c>
      <c r="BC51" s="102">
        <v>45639.400671296295</v>
      </c>
      <c r="BD51" s="87">
        <v>45639.35900462963</v>
      </c>
      <c r="BE51" s="169" t="s">
        <v>73</v>
      </c>
      <c r="BF51" s="169" t="s">
        <v>73</v>
      </c>
      <c r="BG51" s="169" t="s">
        <v>73</v>
      </c>
      <c r="BH51" s="169" t="s">
        <v>73</v>
      </c>
      <c r="BI51" s="169" t="s">
        <v>73</v>
      </c>
      <c r="BJ51" s="169" t="s">
        <v>73</v>
      </c>
      <c r="BK51" s="169"/>
      <c r="BL51" s="169" t="s">
        <v>73</v>
      </c>
      <c r="BM51" s="169" t="s">
        <v>73</v>
      </c>
      <c r="BN51" s="169" t="s">
        <v>73</v>
      </c>
      <c r="BO51" s="169" t="s">
        <v>73</v>
      </c>
      <c r="BP51" s="169" t="s">
        <v>73</v>
      </c>
      <c r="BQ51" s="169" t="s">
        <v>73</v>
      </c>
      <c r="BR51" s="1"/>
      <c r="BS51" s="169" t="s">
        <v>169</v>
      </c>
      <c r="BT51" s="169" t="s">
        <v>196</v>
      </c>
      <c r="BU51" s="169" t="s">
        <v>197</v>
      </c>
      <c r="BV51" s="169" t="s">
        <v>198</v>
      </c>
      <c r="BW51" s="1">
        <v>16</v>
      </c>
      <c r="BX51"/>
      <c r="BY51"/>
    </row>
    <row r="52" spans="1:77" ht="128" x14ac:dyDescent="0.2">
      <c r="A52" s="168" t="s">
        <v>138</v>
      </c>
      <c r="B52" s="168" t="s">
        <v>179</v>
      </c>
      <c r="C52" s="168" t="s">
        <v>166</v>
      </c>
      <c r="D52" s="169" t="s">
        <v>73</v>
      </c>
      <c r="E52" s="169" t="s">
        <v>72</v>
      </c>
      <c r="F52" s="169" t="s">
        <v>72</v>
      </c>
      <c r="G52" s="169" t="s">
        <v>73</v>
      </c>
      <c r="H52" s="169"/>
      <c r="I52" s="169"/>
      <c r="L52">
        <v>6</v>
      </c>
      <c r="N52" s="169"/>
      <c r="O52" s="169"/>
      <c r="P52" s="169"/>
      <c r="Q52" s="169" t="s">
        <v>73</v>
      </c>
      <c r="R52" s="169" t="s">
        <v>73</v>
      </c>
      <c r="S52" s="169" t="s">
        <v>73</v>
      </c>
      <c r="T52" s="79"/>
      <c r="U52" s="79">
        <v>1</v>
      </c>
      <c r="V52" s="1">
        <v>5</v>
      </c>
      <c r="W52" s="1"/>
      <c r="X52" s="1">
        <v>1</v>
      </c>
      <c r="Y52" s="1">
        <v>5</v>
      </c>
      <c r="Z52" s="169" t="s">
        <v>72</v>
      </c>
      <c r="AA52" s="169" t="s">
        <v>73</v>
      </c>
      <c r="AC52" s="1"/>
      <c r="AE52" s="1"/>
      <c r="AF52" s="1"/>
      <c r="AK52" s="169" t="s">
        <v>73</v>
      </c>
      <c r="AL52" s="169" t="s">
        <v>73</v>
      </c>
      <c r="AN52" s="169" t="s">
        <v>73</v>
      </c>
      <c r="AP52" s="169" t="s">
        <v>73</v>
      </c>
      <c r="AR52" s="169" t="s">
        <v>73</v>
      </c>
      <c r="AT52" s="168" t="s">
        <v>72</v>
      </c>
      <c r="AU52">
        <v>3</v>
      </c>
      <c r="AW52" s="1">
        <v>42</v>
      </c>
      <c r="AX52" s="1">
        <v>42</v>
      </c>
      <c r="AY52" s="169" t="s">
        <v>73</v>
      </c>
      <c r="AZ52" s="169" t="s">
        <v>73</v>
      </c>
      <c r="BA52" s="170" t="s">
        <v>160</v>
      </c>
      <c r="BB52" s="169">
        <v>1830</v>
      </c>
      <c r="BC52" s="102">
        <v>45639.325312499997</v>
      </c>
      <c r="BD52" s="87">
        <v>45639.283645833333</v>
      </c>
      <c r="BE52" s="169" t="s">
        <v>166</v>
      </c>
      <c r="BF52" s="169" t="s">
        <v>78</v>
      </c>
      <c r="BG52" s="169" t="s">
        <v>161</v>
      </c>
      <c r="BH52" s="169" t="s">
        <v>162</v>
      </c>
      <c r="BI52" s="169" t="s">
        <v>171</v>
      </c>
      <c r="BJ52" s="169" t="s">
        <v>171</v>
      </c>
      <c r="BK52" s="169">
        <v>23</v>
      </c>
      <c r="BL52" s="169" t="s">
        <v>73</v>
      </c>
      <c r="BM52" s="169" t="s">
        <v>73</v>
      </c>
      <c r="BN52" s="169" t="s">
        <v>73</v>
      </c>
      <c r="BO52" s="169" t="s">
        <v>73</v>
      </c>
      <c r="BP52" s="169" t="s">
        <v>73</v>
      </c>
      <c r="BQ52" s="169" t="s">
        <v>73</v>
      </c>
      <c r="BR52" s="1"/>
      <c r="BS52" s="169" t="s">
        <v>73</v>
      </c>
      <c r="BT52" s="169" t="s">
        <v>73</v>
      </c>
      <c r="BU52" s="169" t="s">
        <v>73</v>
      </c>
      <c r="BV52" s="169" t="s">
        <v>73</v>
      </c>
      <c r="BW52" s="1"/>
      <c r="BX52"/>
      <c r="BY52"/>
    </row>
    <row r="53" spans="1:77" ht="128" x14ac:dyDescent="0.2">
      <c r="A53" s="168" t="s">
        <v>138</v>
      </c>
      <c r="B53" s="168" t="s">
        <v>181</v>
      </c>
      <c r="C53" s="168" t="s">
        <v>159</v>
      </c>
      <c r="D53" s="169" t="s">
        <v>73</v>
      </c>
      <c r="E53" s="169" t="s">
        <v>72</v>
      </c>
      <c r="F53" s="169" t="s">
        <v>73</v>
      </c>
      <c r="G53" s="169" t="s">
        <v>73</v>
      </c>
      <c r="H53" s="169"/>
      <c r="I53" s="169">
        <v>7</v>
      </c>
      <c r="N53" s="169"/>
      <c r="O53" s="169"/>
      <c r="P53" s="169"/>
      <c r="Q53" s="169" t="s">
        <v>73</v>
      </c>
      <c r="R53" s="169" t="s">
        <v>73</v>
      </c>
      <c r="S53" s="169" t="s">
        <v>73</v>
      </c>
      <c r="T53" s="79">
        <v>1</v>
      </c>
      <c r="U53" s="79"/>
      <c r="V53" s="1"/>
      <c r="W53" s="1">
        <v>1</v>
      </c>
      <c r="X53" s="1"/>
      <c r="Y53" s="1"/>
      <c r="Z53" s="169" t="s">
        <v>72</v>
      </c>
      <c r="AA53" s="169" t="s">
        <v>73</v>
      </c>
      <c r="AC53" s="1"/>
      <c r="AE53" s="1"/>
      <c r="AF53" s="1"/>
      <c r="AK53" s="169" t="s">
        <v>73</v>
      </c>
      <c r="AL53" s="169" t="s">
        <v>72</v>
      </c>
      <c r="AM53">
        <v>6</v>
      </c>
      <c r="AN53" s="169" t="s">
        <v>72</v>
      </c>
      <c r="AO53">
        <v>6</v>
      </c>
      <c r="AP53" s="169" t="s">
        <v>73</v>
      </c>
      <c r="AR53" s="169" t="s">
        <v>72</v>
      </c>
      <c r="AS53">
        <v>6</v>
      </c>
      <c r="AT53" s="168" t="s">
        <v>73</v>
      </c>
      <c r="AW53" s="1">
        <v>90</v>
      </c>
      <c r="AX53" s="1">
        <v>0</v>
      </c>
      <c r="AY53" s="169" t="s">
        <v>73</v>
      </c>
      <c r="AZ53" s="169" t="s">
        <v>73</v>
      </c>
      <c r="BA53" s="170" t="s">
        <v>160</v>
      </c>
      <c r="BB53" s="169">
        <v>1826</v>
      </c>
      <c r="BC53" s="102">
        <v>45637.588495370372</v>
      </c>
      <c r="BD53" s="87">
        <v>45637.5468287037</v>
      </c>
      <c r="BE53" s="169" t="s">
        <v>159</v>
      </c>
      <c r="BF53" s="169" t="s">
        <v>78</v>
      </c>
      <c r="BG53" s="169" t="s">
        <v>161</v>
      </c>
      <c r="BH53" s="169" t="s">
        <v>162</v>
      </c>
      <c r="BI53" s="169" t="s">
        <v>163</v>
      </c>
      <c r="BJ53" s="169" t="s">
        <v>163</v>
      </c>
      <c r="BK53" s="169">
        <v>62</v>
      </c>
      <c r="BL53" s="169" t="s">
        <v>73</v>
      </c>
      <c r="BM53" s="169" t="s">
        <v>73</v>
      </c>
      <c r="BN53" s="169" t="s">
        <v>73</v>
      </c>
      <c r="BO53" s="169" t="s">
        <v>73</v>
      </c>
      <c r="BP53" s="169" t="s">
        <v>73</v>
      </c>
      <c r="BQ53" s="169" t="s">
        <v>73</v>
      </c>
      <c r="BR53" s="1"/>
      <c r="BS53" s="169" t="s">
        <v>73</v>
      </c>
      <c r="BT53" s="169" t="s">
        <v>73</v>
      </c>
      <c r="BU53" s="169" t="s">
        <v>73</v>
      </c>
      <c r="BV53" s="169" t="s">
        <v>73</v>
      </c>
      <c r="BW53" s="1"/>
      <c r="BX53"/>
      <c r="BY53"/>
    </row>
    <row r="54" spans="1:77" ht="96" x14ac:dyDescent="0.2">
      <c r="A54" s="168" t="s">
        <v>138</v>
      </c>
      <c r="B54" s="168" t="s">
        <v>175</v>
      </c>
      <c r="C54" s="168" t="s">
        <v>164</v>
      </c>
      <c r="D54" s="169" t="s">
        <v>73</v>
      </c>
      <c r="E54" s="169" t="s">
        <v>72</v>
      </c>
      <c r="F54" s="169" t="s">
        <v>73</v>
      </c>
      <c r="G54" s="169" t="s">
        <v>73</v>
      </c>
      <c r="H54" s="169"/>
      <c r="I54" s="169">
        <v>8</v>
      </c>
      <c r="N54" s="169"/>
      <c r="O54" s="169"/>
      <c r="P54" s="169"/>
      <c r="Q54" s="169" t="s">
        <v>73</v>
      </c>
      <c r="R54" s="169" t="s">
        <v>73</v>
      </c>
      <c r="S54" s="169" t="s">
        <v>73</v>
      </c>
      <c r="T54" s="79"/>
      <c r="U54" s="79"/>
      <c r="V54" s="1"/>
      <c r="W54" s="1"/>
      <c r="X54" s="1"/>
      <c r="Y54" s="1"/>
      <c r="Z54" s="169" t="s">
        <v>73</v>
      </c>
      <c r="AA54" s="169" t="s">
        <v>73</v>
      </c>
      <c r="AC54" s="1"/>
      <c r="AE54" s="1"/>
      <c r="AF54" s="1"/>
      <c r="AK54" s="169" t="s">
        <v>73</v>
      </c>
      <c r="AL54" s="169" t="s">
        <v>73</v>
      </c>
      <c r="AN54" s="169" t="s">
        <v>73</v>
      </c>
      <c r="AP54" s="169" t="s">
        <v>73</v>
      </c>
      <c r="AR54" s="169" t="s">
        <v>73</v>
      </c>
      <c r="AT54" s="168" t="s">
        <v>73</v>
      </c>
      <c r="AW54" s="1">
        <v>10</v>
      </c>
      <c r="AX54" s="1">
        <v>0</v>
      </c>
      <c r="AY54" s="169" t="s">
        <v>73</v>
      </c>
      <c r="AZ54" s="169" t="s">
        <v>73</v>
      </c>
      <c r="BA54" s="170" t="s">
        <v>165</v>
      </c>
      <c r="BB54" s="169">
        <v>1822</v>
      </c>
      <c r="BC54" s="102">
        <v>45635.787199074075</v>
      </c>
      <c r="BD54" s="87">
        <v>45635.745532407411</v>
      </c>
      <c r="BE54" s="169" t="s">
        <v>73</v>
      </c>
      <c r="BF54" s="169" t="s">
        <v>73</v>
      </c>
      <c r="BG54" s="169" t="s">
        <v>73</v>
      </c>
      <c r="BH54" s="169" t="s">
        <v>73</v>
      </c>
      <c r="BI54" s="169" t="s">
        <v>73</v>
      </c>
      <c r="BJ54" s="169" t="s">
        <v>73</v>
      </c>
      <c r="BK54" s="169"/>
      <c r="BL54" s="169" t="s">
        <v>73</v>
      </c>
      <c r="BM54" s="169" t="s">
        <v>73</v>
      </c>
      <c r="BN54" s="169" t="s">
        <v>73</v>
      </c>
      <c r="BO54" s="169" t="s">
        <v>73</v>
      </c>
      <c r="BP54" s="169" t="s">
        <v>73</v>
      </c>
      <c r="BQ54" s="169" t="s">
        <v>73</v>
      </c>
      <c r="BR54" s="1"/>
      <c r="BS54" s="169" t="s">
        <v>73</v>
      </c>
      <c r="BT54" s="169" t="s">
        <v>73</v>
      </c>
      <c r="BU54" s="169" t="s">
        <v>73</v>
      </c>
      <c r="BV54" s="169" t="s">
        <v>73</v>
      </c>
      <c r="BW54" s="1"/>
      <c r="BX54"/>
      <c r="BY54"/>
    </row>
    <row r="55" spans="1:77" ht="16" x14ac:dyDescent="0.2">
      <c r="A55" s="168" t="s">
        <v>138</v>
      </c>
      <c r="B55" s="168" t="s">
        <v>182</v>
      </c>
      <c r="C55" s="168" t="s">
        <v>150</v>
      </c>
      <c r="D55" s="169" t="s">
        <v>73</v>
      </c>
      <c r="E55" s="169" t="s">
        <v>72</v>
      </c>
      <c r="F55" s="169" t="s">
        <v>72</v>
      </c>
      <c r="G55" s="169" t="s">
        <v>73</v>
      </c>
      <c r="H55" s="169"/>
      <c r="I55" s="169">
        <v>3</v>
      </c>
      <c r="N55" s="169"/>
      <c r="O55" s="169"/>
      <c r="P55" s="169"/>
      <c r="Q55" s="169" t="s">
        <v>73</v>
      </c>
      <c r="R55" s="169" t="s">
        <v>73</v>
      </c>
      <c r="S55" s="169" t="s">
        <v>73</v>
      </c>
      <c r="T55" s="79"/>
      <c r="U55" s="79"/>
      <c r="V55" s="1"/>
      <c r="W55" s="1"/>
      <c r="X55" s="1"/>
      <c r="Y55" s="1"/>
      <c r="Z55" s="169" t="s">
        <v>73</v>
      </c>
      <c r="AA55" s="169" t="s">
        <v>73</v>
      </c>
      <c r="AC55" s="1"/>
      <c r="AE55" s="1"/>
      <c r="AF55" s="1"/>
      <c r="AK55" s="169" t="s">
        <v>73</v>
      </c>
      <c r="AL55" s="169" t="s">
        <v>72</v>
      </c>
      <c r="AM55">
        <v>6</v>
      </c>
      <c r="AN55" s="169" t="s">
        <v>72</v>
      </c>
      <c r="AO55">
        <v>6</v>
      </c>
      <c r="AP55" s="169" t="s">
        <v>73</v>
      </c>
      <c r="AR55" s="169" t="s">
        <v>72</v>
      </c>
      <c r="AS55">
        <v>3</v>
      </c>
      <c r="AT55" s="168" t="s">
        <v>73</v>
      </c>
      <c r="AW55" s="1">
        <v>30</v>
      </c>
      <c r="AX55" s="1">
        <v>2</v>
      </c>
      <c r="AY55" s="169" t="s">
        <v>73</v>
      </c>
      <c r="AZ55" s="169" t="s">
        <v>73</v>
      </c>
      <c r="BA55" s="170" t="s">
        <v>73</v>
      </c>
      <c r="BB55" s="169">
        <v>1819</v>
      </c>
      <c r="BC55" s="102">
        <v>45634.99622685185</v>
      </c>
      <c r="BD55" s="87">
        <v>45634.954560185186</v>
      </c>
      <c r="BE55" s="169" t="s">
        <v>73</v>
      </c>
      <c r="BF55" s="169" t="s">
        <v>73</v>
      </c>
      <c r="BG55" s="169" t="s">
        <v>73</v>
      </c>
      <c r="BH55" s="169" t="s">
        <v>73</v>
      </c>
      <c r="BI55" s="169" t="s">
        <v>73</v>
      </c>
      <c r="BJ55" s="169" t="s">
        <v>73</v>
      </c>
      <c r="BK55" s="169"/>
      <c r="BL55" s="169" t="s">
        <v>73</v>
      </c>
      <c r="BM55" s="169" t="s">
        <v>73</v>
      </c>
      <c r="BN55" s="169" t="s">
        <v>73</v>
      </c>
      <c r="BO55" s="169" t="s">
        <v>73</v>
      </c>
      <c r="BP55" s="169" t="s">
        <v>73</v>
      </c>
      <c r="BQ55" s="169" t="s">
        <v>73</v>
      </c>
      <c r="BR55" s="1"/>
      <c r="BS55" s="169" t="s">
        <v>73</v>
      </c>
      <c r="BT55" s="169" t="s">
        <v>73</v>
      </c>
      <c r="BU55" s="169" t="s">
        <v>73</v>
      </c>
      <c r="BV55" s="169" t="s">
        <v>73</v>
      </c>
      <c r="BW55" s="1"/>
      <c r="BX55"/>
      <c r="BY55"/>
    </row>
    <row r="56" spans="1:77" ht="16" x14ac:dyDescent="0.2">
      <c r="A56" s="168" t="s">
        <v>138</v>
      </c>
      <c r="B56" s="168" t="s">
        <v>183</v>
      </c>
      <c r="C56" s="168" t="s">
        <v>137</v>
      </c>
      <c r="D56" s="169" t="s">
        <v>73</v>
      </c>
      <c r="E56" s="169" t="s">
        <v>72</v>
      </c>
      <c r="F56" s="169" t="s">
        <v>72</v>
      </c>
      <c r="G56" s="169" t="s">
        <v>73</v>
      </c>
      <c r="H56" s="169"/>
      <c r="I56" s="169"/>
      <c r="N56" s="169"/>
      <c r="O56" s="169"/>
      <c r="P56" s="169"/>
      <c r="Q56" s="169" t="s">
        <v>73</v>
      </c>
      <c r="R56" s="169" t="s">
        <v>73</v>
      </c>
      <c r="S56" s="169" t="s">
        <v>73</v>
      </c>
      <c r="T56" s="79"/>
      <c r="U56" s="79"/>
      <c r="V56" s="1"/>
      <c r="W56" s="1"/>
      <c r="X56" s="1"/>
      <c r="Y56" s="1"/>
      <c r="Z56" s="169" t="s">
        <v>73</v>
      </c>
      <c r="AA56" s="169" t="s">
        <v>73</v>
      </c>
      <c r="AC56" s="1"/>
      <c r="AE56" s="1"/>
      <c r="AF56" s="1"/>
      <c r="AK56" s="169" t="s">
        <v>73</v>
      </c>
      <c r="AL56" s="169" t="s">
        <v>72</v>
      </c>
      <c r="AM56">
        <v>6</v>
      </c>
      <c r="AN56" s="169" t="s">
        <v>72</v>
      </c>
      <c r="AO56">
        <v>4</v>
      </c>
      <c r="AP56" s="169" t="s">
        <v>73</v>
      </c>
      <c r="AR56" s="169" t="s">
        <v>72</v>
      </c>
      <c r="AS56">
        <v>5</v>
      </c>
      <c r="AT56" s="168" t="s">
        <v>73</v>
      </c>
      <c r="AW56" s="1">
        <v>16</v>
      </c>
      <c r="AX56" s="1">
        <v>1</v>
      </c>
      <c r="AY56" s="169" t="s">
        <v>73</v>
      </c>
      <c r="AZ56" s="169" t="s">
        <v>73</v>
      </c>
      <c r="BA56" s="170" t="s">
        <v>73</v>
      </c>
      <c r="BB56" s="169">
        <v>1813</v>
      </c>
      <c r="BC56" s="102">
        <v>45630.951053240744</v>
      </c>
      <c r="BD56" s="87">
        <v>45631.712673611109</v>
      </c>
      <c r="BE56" s="169" t="s">
        <v>73</v>
      </c>
      <c r="BF56" s="169" t="s">
        <v>73</v>
      </c>
      <c r="BG56" s="169" t="s">
        <v>73</v>
      </c>
      <c r="BH56" s="169" t="s">
        <v>73</v>
      </c>
      <c r="BI56" s="169" t="s">
        <v>73</v>
      </c>
      <c r="BJ56" s="169" t="s">
        <v>73</v>
      </c>
      <c r="BK56" s="169"/>
      <c r="BL56" s="169" t="s">
        <v>73</v>
      </c>
      <c r="BM56" s="169" t="s">
        <v>73</v>
      </c>
      <c r="BN56" s="169" t="s">
        <v>73</v>
      </c>
      <c r="BO56" s="169" t="s">
        <v>73</v>
      </c>
      <c r="BP56" s="169" t="s">
        <v>73</v>
      </c>
      <c r="BQ56" s="169" t="s">
        <v>73</v>
      </c>
      <c r="BR56" s="1"/>
      <c r="BS56" s="169" t="s">
        <v>73</v>
      </c>
      <c r="BT56" s="169" t="s">
        <v>73</v>
      </c>
      <c r="BU56" s="169" t="s">
        <v>73</v>
      </c>
      <c r="BV56" s="169" t="s">
        <v>73</v>
      </c>
      <c r="BW56" s="1"/>
      <c r="BX56"/>
      <c r="BY56"/>
    </row>
    <row r="57" spans="1:77" ht="16" x14ac:dyDescent="0.2">
      <c r="A57" s="168" t="s">
        <v>138</v>
      </c>
      <c r="B57" s="168" t="s">
        <v>178</v>
      </c>
      <c r="C57" s="168" t="s">
        <v>132</v>
      </c>
      <c r="D57" s="169" t="s">
        <v>73</v>
      </c>
      <c r="E57" s="169" t="s">
        <v>72</v>
      </c>
      <c r="F57" s="169" t="s">
        <v>72</v>
      </c>
      <c r="G57" s="169" t="s">
        <v>73</v>
      </c>
      <c r="H57" s="169"/>
      <c r="I57" s="169"/>
      <c r="N57" s="169"/>
      <c r="O57" s="169"/>
      <c r="P57" s="169"/>
      <c r="Q57" s="169" t="s">
        <v>73</v>
      </c>
      <c r="R57" s="169" t="s">
        <v>73</v>
      </c>
      <c r="S57" s="169" t="s">
        <v>73</v>
      </c>
      <c r="T57" s="79"/>
      <c r="U57" s="79"/>
      <c r="V57" s="1"/>
      <c r="W57" s="1"/>
      <c r="X57" s="1"/>
      <c r="Y57" s="1"/>
      <c r="Z57" s="169" t="s">
        <v>73</v>
      </c>
      <c r="AA57" s="169" t="s">
        <v>73</v>
      </c>
      <c r="AC57" s="1"/>
      <c r="AE57" s="1"/>
      <c r="AF57" s="1"/>
      <c r="AK57" s="169" t="s">
        <v>73</v>
      </c>
      <c r="AL57" s="169" t="s">
        <v>72</v>
      </c>
      <c r="AM57">
        <v>6</v>
      </c>
      <c r="AN57" s="169" t="s">
        <v>72</v>
      </c>
      <c r="AO57">
        <v>6</v>
      </c>
      <c r="AP57" s="169" t="s">
        <v>72</v>
      </c>
      <c r="AQ57">
        <v>6</v>
      </c>
      <c r="AR57" s="169" t="s">
        <v>72</v>
      </c>
      <c r="AS57">
        <v>6</v>
      </c>
      <c r="AT57" s="168" t="s">
        <v>72</v>
      </c>
      <c r="AU57">
        <v>1</v>
      </c>
      <c r="AV57">
        <v>1</v>
      </c>
      <c r="AW57" s="1">
        <v>25</v>
      </c>
      <c r="AX57" s="1">
        <v>3</v>
      </c>
      <c r="AY57" s="169" t="s">
        <v>73</v>
      </c>
      <c r="AZ57" s="169" t="s">
        <v>73</v>
      </c>
      <c r="BA57" s="170" t="s">
        <v>73</v>
      </c>
      <c r="BB57" s="169">
        <v>1808</v>
      </c>
      <c r="BC57" s="102">
        <v>45619.804212962961</v>
      </c>
      <c r="BD57" s="87">
        <v>45631.712268518517</v>
      </c>
      <c r="BE57" s="169" t="s">
        <v>73</v>
      </c>
      <c r="BF57" s="169" t="s">
        <v>73</v>
      </c>
      <c r="BG57" s="169" t="s">
        <v>73</v>
      </c>
      <c r="BH57" s="169" t="s">
        <v>73</v>
      </c>
      <c r="BI57" s="169" t="s">
        <v>73</v>
      </c>
      <c r="BJ57" s="169" t="s">
        <v>73</v>
      </c>
      <c r="BK57" s="169"/>
      <c r="BL57" s="169" t="s">
        <v>73</v>
      </c>
      <c r="BM57" s="169" t="s">
        <v>73</v>
      </c>
      <c r="BN57" s="169" t="s">
        <v>73</v>
      </c>
      <c r="BO57" s="169" t="s">
        <v>73</v>
      </c>
      <c r="BP57" s="169" t="s">
        <v>73</v>
      </c>
      <c r="BQ57" s="169" t="s">
        <v>73</v>
      </c>
      <c r="BR57" s="1"/>
      <c r="BS57" s="169" t="s">
        <v>73</v>
      </c>
      <c r="BT57" s="169" t="s">
        <v>73</v>
      </c>
      <c r="BU57" s="169" t="s">
        <v>73</v>
      </c>
      <c r="BV57" s="169" t="s">
        <v>73</v>
      </c>
      <c r="BW57" s="1"/>
      <c r="BX57"/>
      <c r="BY57"/>
    </row>
    <row r="58" spans="1:77" x14ac:dyDescent="0.2">
      <c r="A58" t="s">
        <v>79</v>
      </c>
      <c r="C58">
        <f>SUBTOTAL(103,Kringdagen[Naam vereniging])</f>
        <v>51</v>
      </c>
      <c r="D58">
        <f>COUNTIF(Kringdagen[Delegatie],"x")</f>
        <v>1</v>
      </c>
      <c r="E58" s="16">
        <f>COUNTIF(Kringdagen[Muziekkorps bij mars en defilé],"x")</f>
        <v>49</v>
      </c>
      <c r="F58" s="16">
        <f>COUNTIF(Kringdagen[Deeln. jeugdkoningschieten],"x")</f>
        <v>34</v>
      </c>
      <c r="G58" s="16">
        <f>COUNTIF(Kringdagen[Maj. Senioren jureren bij mars],"x")</f>
        <v>2</v>
      </c>
      <c r="H58" s="16">
        <f>COUNTIF(Kringdagen[Maj. Jeugd jureren bij mars],"x")</f>
        <v>4</v>
      </c>
      <c r="I58" s="16">
        <f>SUBTOTAL(103,Kringdagen[Korps senioren])</f>
        <v>38</v>
      </c>
      <c r="J58">
        <f>SUBTOTAL(103,Kringdagen[Junioren korps 1])</f>
        <v>11</v>
      </c>
      <c r="K58">
        <f>SUBTOTAL(103,Kringdagen[Junioren korps 2])</f>
        <v>0</v>
      </c>
      <c r="L58">
        <f>SUBTOTAL(103,Kringdagen[Aspiranten korps 1])</f>
        <v>8</v>
      </c>
      <c r="M58">
        <f>SUBTOTAL(103,Kringdagen[Aspiranten korps 2])</f>
        <v>1</v>
      </c>
      <c r="N58" s="16">
        <f>SUBTOTAL(103,Kringdagen[Acrobatisch senioren])</f>
        <v>4</v>
      </c>
      <c r="O58" s="16">
        <f>COUNTIF(Kringdagen[Acrobatisch junioren],"x")</f>
        <v>0</v>
      </c>
      <c r="P58" s="16">
        <f>COUNTIF(Kringdagen[Acrobatisch aspiranten],"x")</f>
        <v>0</v>
      </c>
      <c r="R58">
        <f>SUBTOTAL(103,Kringdagen[Show junioren])</f>
        <v>51</v>
      </c>
      <c r="S58">
        <f>SUBTOTAL(103,Kringdagen[Show aspiranten])</f>
        <v>51</v>
      </c>
      <c r="T58" s="79">
        <f>SUBTOTAL(109,Kringdagen[Senioren indiv.])</f>
        <v>27</v>
      </c>
      <c r="U58" s="79">
        <f>SUBTOTAL(109,Kringdagen[Junioren indiv.])</f>
        <v>9</v>
      </c>
      <c r="V58" s="1">
        <f>SUBTOTAL(109,Kringdagen[Aspiranten indiv.])</f>
        <v>10</v>
      </c>
      <c r="W58" s="1">
        <f>SUBTOTAL(109,Kringdagen[Sen. ind opgegeven namen])</f>
        <v>28</v>
      </c>
      <c r="X58" s="1">
        <f>SUBTOTAL(109,Kringdagen[Jun. ind opgegeven namen])</f>
        <v>9</v>
      </c>
      <c r="Y58" s="1">
        <f>SUBTOTAL(109,Kringdagen[Asp. ind opgegeven namen])</f>
        <v>10</v>
      </c>
      <c r="Z58" s="16">
        <f>COUNTIF(Kringdagen[Hoofdkorps],"x")</f>
        <v>9</v>
      </c>
      <c r="AA58" s="16">
        <f>COUNTIF(Kringdagen[2e korps],"x")</f>
        <v>0</v>
      </c>
      <c r="AB58">
        <f>SUBTOTAL(103,Kringdagen[Groepen, teams, ensembles en duo''s])</f>
        <v>4</v>
      </c>
      <c r="AC58">
        <f>SUBTOTAL(109,Kringdagen[Senioren])</f>
        <v>69</v>
      </c>
      <c r="AD58">
        <f>SUBTOTAL(109,Kringdagen[Jong volwassene])</f>
        <v>1</v>
      </c>
      <c r="AE58">
        <f>SUBTOTAL(109,Kringdagen[Junioren])</f>
        <v>1</v>
      </c>
      <c r="AF58">
        <f>SUBTOTAL(109,Kringdagen[Aspiranten])</f>
        <v>8</v>
      </c>
      <c r="AG58">
        <f>SUBTOTAL(109,Kringdagen[Opgegeven senioren])</f>
        <v>67</v>
      </c>
      <c r="AH58">
        <f>SUBTOTAL(109,Kringdagen[Opgegeven jong volwassene])</f>
        <v>1</v>
      </c>
      <c r="AI58">
        <f>SUBTOTAL(109,Kringdagen[Opgegeven junioren])</f>
        <v>1</v>
      </c>
      <c r="AJ58">
        <f>SUBTOTAL(109,Kringdagen[Opgegeven aspiranten])</f>
        <v>8</v>
      </c>
      <c r="AK58">
        <f>COUNTIF(Kringdagen[Acrobatisch aspiranten],"x")</f>
        <v>0</v>
      </c>
      <c r="AL58">
        <f>COUNTIF(Kringdagen[Luchtgeweer],"x")</f>
        <v>31</v>
      </c>
      <c r="AM58">
        <f>SUBTOTAL(109,Kringdagen[Aantal luchtgeweerschutters])</f>
        <v>171</v>
      </c>
      <c r="AN58">
        <f>COUNTIF(Kringdagen[Luchtpistool],"x")</f>
        <v>29</v>
      </c>
      <c r="AO58">
        <f>SUBTOTAL(109,Kringdagen[Aantal luchtpistoolschutters])</f>
        <v>155</v>
      </c>
      <c r="AP58">
        <f>COUNTIF(Kringdagen[Handboog],"x")</f>
        <v>3</v>
      </c>
      <c r="AQ58">
        <f>SUBTOTAL(109,Kringdagen[Aantal handboogschutters])</f>
        <v>18</v>
      </c>
      <c r="AR58">
        <f>COUNTIF(Kringdagen[Kruisboog],"x")</f>
        <v>27</v>
      </c>
      <c r="AS58">
        <f>SUBTOTAL(109,Kringdagen[Aantal kruisboogschutters])</f>
        <v>148</v>
      </c>
      <c r="AT58">
        <f>COUNTIF(Kringdagen[[#Headers],[#Data],[Luchtgeweer jeugd niet ouder dan 17 jaar.]],"x")</f>
        <v>12</v>
      </c>
      <c r="AU58">
        <f>SUBTOTAL(109,Kringdagen[Aantal korpsen])</f>
        <v>25</v>
      </c>
      <c r="AV58">
        <f>SUBTOTAL(109,Kringdagen[Opgegeven jeugdkorpsen LG])</f>
        <v>2</v>
      </c>
      <c r="AW58">
        <f>SUBTOTAL(109,Kringdagen[Totaal aantal deelnemers])</f>
        <v>2542</v>
      </c>
      <c r="AX58">
        <f>SUBTOTAL(109,Kringdagen[Waarvan aantal jeugd (t/m 15 jaar)])</f>
        <v>398</v>
      </c>
      <c r="AY58">
        <f>COUNTIF(Kringdagen[Kanon etc.],"x")</f>
        <v>15</v>
      </c>
      <c r="AZ58">
        <f>COUNTIF(Kringdagen[Paarden en/of koetsen],"x")</f>
        <v>4</v>
      </c>
      <c r="BQ58" s="1"/>
      <c r="BR58" s="1"/>
      <c r="BS58" s="1"/>
      <c r="BT58" s="1"/>
      <c r="BU58" s="1"/>
      <c r="BV58" s="1"/>
      <c r="BW58" s="1">
        <f>SUBTOTAL(109,Kringdagen[Aantal opgegeven majorettes])</f>
        <v>48</v>
      </c>
      <c r="BX58"/>
      <c r="BY58"/>
    </row>
    <row r="59" spans="1:77" ht="16" thickBot="1" x14ac:dyDescent="0.25">
      <c r="BX59"/>
      <c r="BY59"/>
    </row>
    <row r="60" spans="1:77" ht="16" thickTop="1" x14ac:dyDescent="0.2">
      <c r="Z60" s="119"/>
      <c r="BX60"/>
      <c r="BY60"/>
    </row>
    <row r="61" spans="1:77" x14ac:dyDescent="0.2">
      <c r="BX61"/>
      <c r="BY61"/>
    </row>
    <row r="62" spans="1:77" x14ac:dyDescent="0.2">
      <c r="BX62"/>
      <c r="BY62"/>
    </row>
    <row r="63" spans="1:77" x14ac:dyDescent="0.2">
      <c r="BX63"/>
      <c r="BY63"/>
    </row>
    <row r="64" spans="1:77" x14ac:dyDescent="0.2">
      <c r="BX64"/>
      <c r="BY64"/>
    </row>
    <row r="65" spans="76:77" x14ac:dyDescent="0.2">
      <c r="BX65"/>
      <c r="BY65"/>
    </row>
    <row r="66" spans="76:77" x14ac:dyDescent="0.2">
      <c r="BX66"/>
      <c r="BY66"/>
    </row>
    <row r="67" spans="76:77" x14ac:dyDescent="0.2">
      <c r="BX67"/>
      <c r="BY67"/>
    </row>
    <row r="68" spans="76:77" x14ac:dyDescent="0.2">
      <c r="BX68"/>
      <c r="BY68"/>
    </row>
    <row r="69" spans="76:77" x14ac:dyDescent="0.2">
      <c r="BX69"/>
      <c r="BY69"/>
    </row>
    <row r="70" spans="76:77" x14ac:dyDescent="0.2">
      <c r="BX70"/>
      <c r="BY70"/>
    </row>
    <row r="71" spans="76:77" x14ac:dyDescent="0.2">
      <c r="BX71"/>
      <c r="BY71"/>
    </row>
    <row r="72" spans="76:77" x14ac:dyDescent="0.2">
      <c r="BX72"/>
      <c r="BY72"/>
    </row>
    <row r="73" spans="76:77" x14ac:dyDescent="0.2">
      <c r="BX73"/>
      <c r="BY73"/>
    </row>
    <row r="74" spans="76:77" x14ac:dyDescent="0.2">
      <c r="BX74"/>
      <c r="BY74"/>
    </row>
    <row r="75" spans="76:77" x14ac:dyDescent="0.2">
      <c r="BX75"/>
      <c r="BY75"/>
    </row>
    <row r="76" spans="76:77" x14ac:dyDescent="0.2">
      <c r="BX76"/>
      <c r="BY76"/>
    </row>
    <row r="77" spans="76:77" x14ac:dyDescent="0.2">
      <c r="BX77"/>
      <c r="BY77"/>
    </row>
    <row r="78" spans="76:77" x14ac:dyDescent="0.2">
      <c r="BX78"/>
      <c r="BY78"/>
    </row>
    <row r="79" spans="76:77" x14ac:dyDescent="0.2">
      <c r="BX79"/>
      <c r="BY79"/>
    </row>
    <row r="80" spans="76:77" x14ac:dyDescent="0.2">
      <c r="BX80"/>
      <c r="BY80"/>
    </row>
    <row r="81" spans="76:77" x14ac:dyDescent="0.2">
      <c r="BX81"/>
      <c r="BY81"/>
    </row>
    <row r="82" spans="76:77" x14ac:dyDescent="0.2">
      <c r="BX82"/>
      <c r="BY82"/>
    </row>
    <row r="83" spans="76:77" x14ac:dyDescent="0.2">
      <c r="BX83"/>
      <c r="BY83"/>
    </row>
    <row r="84" spans="76:77" x14ac:dyDescent="0.2">
      <c r="BX84"/>
      <c r="BY84"/>
    </row>
    <row r="85" spans="76:77" x14ac:dyDescent="0.2">
      <c r="BX85"/>
      <c r="BY85"/>
    </row>
    <row r="86" spans="76:77" x14ac:dyDescent="0.2">
      <c r="BX86"/>
      <c r="BY86"/>
    </row>
    <row r="87" spans="76:77" x14ac:dyDescent="0.2">
      <c r="BX87"/>
      <c r="BY87"/>
    </row>
    <row r="88" spans="76:77" x14ac:dyDescent="0.2">
      <c r="BX88"/>
      <c r="BY88"/>
    </row>
    <row r="89" spans="76:77" x14ac:dyDescent="0.2">
      <c r="BX89"/>
      <c r="BY89"/>
    </row>
    <row r="90" spans="76:77" x14ac:dyDescent="0.2">
      <c r="BX90"/>
      <c r="BY90"/>
    </row>
    <row r="91" spans="76:77" x14ac:dyDescent="0.2">
      <c r="BX91"/>
      <c r="BY91"/>
    </row>
    <row r="92" spans="76:77" x14ac:dyDescent="0.2">
      <c r="BX92"/>
      <c r="BY92"/>
    </row>
    <row r="93" spans="76:77" x14ac:dyDescent="0.2">
      <c r="BX93"/>
      <c r="BY93"/>
    </row>
    <row r="94" spans="76:77" x14ac:dyDescent="0.2">
      <c r="BX94"/>
      <c r="BY94"/>
    </row>
    <row r="95" spans="76:77" x14ac:dyDescent="0.2">
      <c r="BX95"/>
      <c r="BY95"/>
    </row>
    <row r="96" spans="76:77" x14ac:dyDescent="0.2">
      <c r="BX96"/>
      <c r="BY96"/>
    </row>
    <row r="97" spans="76:77" x14ac:dyDescent="0.2">
      <c r="BX97"/>
      <c r="BY97"/>
    </row>
    <row r="98" spans="76:77" x14ac:dyDescent="0.2">
      <c r="BX98"/>
      <c r="BY98"/>
    </row>
    <row r="99" spans="76:77" x14ac:dyDescent="0.2">
      <c r="BX99"/>
      <c r="BY99"/>
    </row>
    <row r="100" spans="76:77" x14ac:dyDescent="0.2">
      <c r="BX100"/>
      <c r="BY100"/>
    </row>
    <row r="101" spans="76:77" x14ac:dyDescent="0.2">
      <c r="BX101"/>
      <c r="BY101"/>
    </row>
    <row r="102" spans="76:77" x14ac:dyDescent="0.2">
      <c r="BX102"/>
      <c r="BY102"/>
    </row>
    <row r="103" spans="76:77" x14ac:dyDescent="0.2">
      <c r="BX103"/>
      <c r="BY103"/>
    </row>
    <row r="104" spans="76:77" x14ac:dyDescent="0.2">
      <c r="BX104"/>
      <c r="BY104"/>
    </row>
    <row r="105" spans="76:77" x14ac:dyDescent="0.2">
      <c r="BX105"/>
      <c r="BY105"/>
    </row>
    <row r="106" spans="76:77" x14ac:dyDescent="0.2">
      <c r="BX106"/>
      <c r="BY106"/>
    </row>
    <row r="107" spans="76:77" x14ac:dyDescent="0.2">
      <c r="BX107"/>
      <c r="BY107"/>
    </row>
    <row r="108" spans="76:77" x14ac:dyDescent="0.2">
      <c r="BX108"/>
      <c r="BY108"/>
    </row>
    <row r="109" spans="76:77" x14ac:dyDescent="0.2">
      <c r="BX109"/>
      <c r="BY109"/>
    </row>
  </sheetData>
  <mergeCells count="13">
    <mergeCell ref="D3:H3"/>
    <mergeCell ref="T4:Y4"/>
    <mergeCell ref="BE4:BK4"/>
    <mergeCell ref="BL4:BR4"/>
    <mergeCell ref="BS4:BW4"/>
    <mergeCell ref="I3:Y3"/>
    <mergeCell ref="Z3:AA3"/>
    <mergeCell ref="AL3:AV3"/>
    <mergeCell ref="BE3:BR3"/>
    <mergeCell ref="BS3:BW3"/>
    <mergeCell ref="N4:P4"/>
    <mergeCell ref="Q4:S4"/>
    <mergeCell ref="AW3:BD3"/>
  </mergeCells>
  <phoneticPr fontId="2" type="noConversion"/>
  <conditionalFormatting sqref="W6:W57">
    <cfRule type="expression" dxfId="40" priority="13">
      <formula>"$r6-$u6&lt;&gt;0"</formula>
    </cfRule>
  </conditionalFormatting>
  <conditionalFormatting sqref="X6:X57">
    <cfRule type="expression" dxfId="39" priority="14">
      <formula>"$s6-$v6&lt;&gt;0"</formula>
    </cfRule>
  </conditionalFormatting>
  <conditionalFormatting sqref="Y6:Y57">
    <cfRule type="expression" dxfId="38" priority="15">
      <formula>"$t6-$w6&lt;&gt;0"</formula>
    </cfRule>
  </conditionalFormatting>
  <conditionalFormatting sqref="AG6">
    <cfRule type="expression" dxfId="37" priority="4">
      <formula>"$r6-$u6&lt;&gt;0"</formula>
    </cfRule>
  </conditionalFormatting>
  <conditionalFormatting sqref="AH6">
    <cfRule type="expression" dxfId="36" priority="3">
      <formula>"$r6-$u6&lt;&gt;0"</formula>
    </cfRule>
  </conditionalFormatting>
  <conditionalFormatting sqref="AI6">
    <cfRule type="expression" dxfId="35" priority="2">
      <formula>"$r6-$u6&lt;&gt;0"</formula>
    </cfRule>
  </conditionalFormatting>
  <conditionalFormatting sqref="AJ6">
    <cfRule type="expression" dxfId="34" priority="1">
      <formula>"$r6-$u6&lt;&gt;0"</formula>
    </cfRule>
  </conditionalFormatting>
  <conditionalFormatting sqref="AM6">
    <cfRule type="expression" dxfId="33" priority="11">
      <formula>"$r6-$u6&lt;&gt;0"</formula>
    </cfRule>
  </conditionalFormatting>
  <conditionalFormatting sqref="AO6">
    <cfRule type="expression" dxfId="32" priority="10">
      <formula>"$r6-$u6&lt;&gt;0"</formula>
    </cfRule>
  </conditionalFormatting>
  <conditionalFormatting sqref="AQ6">
    <cfRule type="expression" dxfId="31" priority="9">
      <formula>"$r6-$u6&lt;&gt;0"</formula>
    </cfRule>
  </conditionalFormatting>
  <conditionalFormatting sqref="AS6">
    <cfRule type="expression" dxfId="30" priority="8">
      <formula>"$r6-$u6&lt;&gt;0"</formula>
    </cfRule>
  </conditionalFormatting>
  <conditionalFormatting sqref="AV6">
    <cfRule type="expression" dxfId="29" priority="6">
      <formula>"$r6-$u6&lt;&gt;0"</formula>
    </cfRule>
  </conditionalFormatting>
  <pageMargins left="0.7" right="0.7" top="0.75" bottom="0.75" header="0.3" footer="0.3"/>
  <pageSetup paperSize="9" orientation="landscape" horizont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1FB857-9D6B-40E6-B1B5-B048A8634108}">
  <dimension ref="A1:CP25"/>
  <sheetViews>
    <sheetView zoomScale="110" zoomScaleNormal="110" workbookViewId="0">
      <pane xSplit="3" ySplit="7" topLeftCell="D8" activePane="bottomRight" state="frozen"/>
      <selection pane="topRight" activeCell="D1" sqref="D1"/>
      <selection pane="bottomLeft" activeCell="A8" sqref="A8"/>
      <selection pane="bottomRight" activeCell="E11" sqref="E11"/>
    </sheetView>
  </sheetViews>
  <sheetFormatPr baseColWidth="10" defaultColWidth="9.1640625" defaultRowHeight="15" x14ac:dyDescent="0.2"/>
  <cols>
    <col min="1" max="1" width="10.33203125" bestFit="1" customWidth="1"/>
    <col min="2" max="2" width="8.6640625" bestFit="1" customWidth="1"/>
    <col min="3" max="3" width="29" style="70" bestFit="1" customWidth="1"/>
    <col min="4" max="4" width="3.5" style="1" bestFit="1" customWidth="1"/>
    <col min="5" max="16" width="8.5" style="1" bestFit="1" customWidth="1"/>
    <col min="17" max="19" width="7.6640625" style="1" hidden="1" customWidth="1"/>
    <col min="20" max="32" width="8.5" style="1" bestFit="1" customWidth="1"/>
    <col min="33" max="35" width="3.5" style="1" bestFit="1" customWidth="1"/>
    <col min="36" max="38" width="8.5" style="1" bestFit="1" customWidth="1"/>
    <col min="39" max="39" width="3.5" style="1" bestFit="1" customWidth="1"/>
    <col min="40" max="40" width="8.5" style="1" bestFit="1" customWidth="1"/>
    <col min="41" max="41" width="3.5" style="1" bestFit="1" customWidth="1"/>
    <col min="42" max="42" width="8.5" style="1" bestFit="1" customWidth="1"/>
    <col min="43" max="43" width="3.5" style="1" bestFit="1" customWidth="1"/>
    <col min="44" max="44" width="8.5" style="61" bestFit="1" customWidth="1"/>
    <col min="45" max="45" width="3.5" bestFit="1" customWidth="1"/>
    <col min="46" max="47" width="8.5" bestFit="1" customWidth="1"/>
    <col min="48" max="48" width="3.5" bestFit="1" customWidth="1"/>
    <col min="49" max="49" width="8.5" style="63" bestFit="1" customWidth="1"/>
    <col min="50" max="50" width="8.5" style="1" bestFit="1" customWidth="1"/>
    <col min="51" max="51" width="8.5" style="86" bestFit="1" customWidth="1"/>
    <col min="52" max="52" width="8.5" bestFit="1" customWidth="1"/>
    <col min="53" max="53" width="26" bestFit="1" customWidth="1"/>
    <col min="54" max="54" width="8.5" bestFit="1" customWidth="1"/>
    <col min="55" max="55" width="10.1640625" bestFit="1" customWidth="1"/>
    <col min="56" max="56" width="15" bestFit="1" customWidth="1"/>
    <col min="57" max="63" width="8.5" bestFit="1" customWidth="1"/>
    <col min="64" max="70" width="7.6640625" hidden="1" customWidth="1"/>
    <col min="71" max="71" width="8.5" bestFit="1" customWidth="1"/>
    <col min="72" max="72" width="28.6640625" bestFit="1" customWidth="1"/>
    <col min="73" max="73" width="27.1640625" bestFit="1" customWidth="1"/>
    <col min="74" max="74" width="22.83203125" bestFit="1" customWidth="1"/>
    <col min="75" max="75" width="8.5" style="1" bestFit="1" customWidth="1"/>
    <col min="76" max="79" width="8.33203125" hidden="1" customWidth="1"/>
    <col min="80" max="81" width="8.33203125" style="33" hidden="1" customWidth="1"/>
    <col min="82" max="83" width="7.6640625" style="33" bestFit="1" customWidth="1"/>
    <col min="84" max="84" width="10.1640625" style="33" bestFit="1" customWidth="1"/>
    <col min="85" max="85" width="33" style="33" bestFit="1" customWidth="1"/>
    <col min="86" max="86" width="10.1640625" style="33" bestFit="1" customWidth="1"/>
    <col min="87" max="90" width="6.83203125" style="33" bestFit="1" customWidth="1"/>
    <col min="91" max="91" width="15.83203125" style="33" bestFit="1" customWidth="1"/>
    <col min="92" max="93" width="9.33203125" style="33" bestFit="1" customWidth="1"/>
  </cols>
  <sheetData>
    <row r="1" spans="1:94" ht="27" customHeight="1" x14ac:dyDescent="0.2">
      <c r="A1" s="142" t="s">
        <v>80</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72"/>
      <c r="CE1" s="72"/>
      <c r="CF1" s="72"/>
      <c r="CG1" s="72"/>
      <c r="CH1" s="72"/>
      <c r="CI1" s="72"/>
      <c r="CJ1" s="72"/>
      <c r="CK1" s="72"/>
      <c r="CL1" s="72"/>
      <c r="CM1" s="72"/>
      <c r="CN1"/>
      <c r="CO1"/>
    </row>
    <row r="2" spans="1:94" ht="20" thickBot="1" x14ac:dyDescent="0.3">
      <c r="A2" s="143" t="s">
        <v>140</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4"/>
      <c r="BT2" s="144"/>
      <c r="BU2" s="144"/>
      <c r="BV2" s="144"/>
      <c r="BW2" s="144"/>
      <c r="BX2" s="144"/>
      <c r="BY2" s="144"/>
      <c r="BZ2" s="144"/>
      <c r="CA2" s="143"/>
      <c r="CB2" s="143"/>
      <c r="CC2" s="143"/>
      <c r="CD2" s="73"/>
      <c r="CE2" s="73"/>
      <c r="CF2" s="73"/>
      <c r="CG2" s="73"/>
      <c r="CH2" s="73"/>
      <c r="CI2" s="73"/>
      <c r="CJ2" s="73"/>
      <c r="CK2" s="73"/>
      <c r="CL2" s="73"/>
      <c r="CM2" s="73"/>
      <c r="CN2"/>
      <c r="CO2"/>
    </row>
    <row r="3" spans="1:94" ht="16" thickBot="1" x14ac:dyDescent="0.25">
      <c r="A3" s="20"/>
      <c r="B3" s="21"/>
      <c r="C3" s="127"/>
      <c r="D3" s="133" t="s">
        <v>1</v>
      </c>
      <c r="E3" s="134"/>
      <c r="F3" s="134"/>
      <c r="G3" s="134"/>
      <c r="H3" s="135"/>
      <c r="I3" s="136" t="s">
        <v>2</v>
      </c>
      <c r="J3" s="137"/>
      <c r="K3" s="137"/>
      <c r="L3" s="137"/>
      <c r="M3" s="137"/>
      <c r="N3" s="137"/>
      <c r="O3" s="137"/>
      <c r="P3" s="137"/>
      <c r="Q3" s="137"/>
      <c r="R3" s="137"/>
      <c r="S3" s="137"/>
      <c r="T3" s="137"/>
      <c r="U3" s="137"/>
      <c r="V3" s="137"/>
      <c r="W3" s="137"/>
      <c r="X3" s="137"/>
      <c r="Y3" s="138"/>
      <c r="Z3" s="133" t="s">
        <v>3</v>
      </c>
      <c r="AA3" s="135"/>
      <c r="AB3" s="26" t="s">
        <v>4</v>
      </c>
      <c r="AC3" s="95" t="s">
        <v>5</v>
      </c>
      <c r="AD3" s="96"/>
      <c r="AE3" s="96"/>
      <c r="AF3" s="96"/>
      <c r="AG3" s="96"/>
      <c r="AH3" s="96"/>
      <c r="AI3" s="96"/>
      <c r="AJ3" s="113"/>
      <c r="AK3" s="26" t="s">
        <v>6</v>
      </c>
      <c r="AL3" s="133" t="s">
        <v>7</v>
      </c>
      <c r="AM3" s="134"/>
      <c r="AN3" s="134"/>
      <c r="AO3" s="134"/>
      <c r="AP3" s="134"/>
      <c r="AQ3" s="134"/>
      <c r="AR3" s="134"/>
      <c r="AS3" s="134"/>
      <c r="AT3" s="134"/>
      <c r="AU3" s="134"/>
      <c r="AV3" s="135"/>
      <c r="AW3" s="133" t="s">
        <v>8</v>
      </c>
      <c r="AX3" s="134"/>
      <c r="AY3" s="134"/>
      <c r="AZ3" s="134"/>
      <c r="BA3" s="134"/>
      <c r="BB3" s="134"/>
      <c r="BC3" s="134"/>
      <c r="BD3" s="135"/>
      <c r="BE3" s="136" t="s">
        <v>9</v>
      </c>
      <c r="BF3" s="137"/>
      <c r="BG3" s="137"/>
      <c r="BH3" s="137"/>
      <c r="BI3" s="137"/>
      <c r="BJ3" s="137"/>
      <c r="BK3" s="137"/>
      <c r="BL3" s="137"/>
      <c r="BM3" s="137"/>
      <c r="BN3" s="137"/>
      <c r="BO3" s="137"/>
      <c r="BP3" s="137"/>
      <c r="BQ3" s="137"/>
      <c r="BR3" s="137"/>
      <c r="BS3" s="139" t="s">
        <v>10</v>
      </c>
      <c r="BT3" s="140"/>
      <c r="BU3" s="140"/>
      <c r="BV3" s="140"/>
      <c r="BW3" s="141"/>
      <c r="BX3" s="105"/>
      <c r="BY3" s="105"/>
      <c r="BZ3" s="106"/>
      <c r="CA3" s="74"/>
      <c r="CB3" s="74"/>
      <c r="CC3" s="80"/>
      <c r="CD3" s="80"/>
      <c r="CE3" s="34"/>
      <c r="CF3" s="34"/>
      <c r="CG3" s="34"/>
      <c r="CH3" s="34"/>
      <c r="CI3" s="34"/>
      <c r="CJ3" s="34"/>
      <c r="CK3"/>
      <c r="CL3"/>
      <c r="CM3"/>
      <c r="CN3"/>
      <c r="CO3"/>
    </row>
    <row r="4" spans="1:94" ht="16" thickBot="1" x14ac:dyDescent="0.25">
      <c r="A4" s="23"/>
      <c r="B4" s="24"/>
      <c r="C4" s="128"/>
      <c r="D4" s="23"/>
      <c r="E4" s="24"/>
      <c r="F4" s="24"/>
      <c r="G4" s="24"/>
      <c r="H4" s="25"/>
      <c r="I4" s="88" t="s">
        <v>11</v>
      </c>
      <c r="J4" s="110"/>
      <c r="K4" s="110"/>
      <c r="L4" s="110"/>
      <c r="M4" s="111"/>
      <c r="N4" s="136" t="s">
        <v>88</v>
      </c>
      <c r="O4" s="137"/>
      <c r="P4" s="138"/>
      <c r="Q4" s="136" t="s">
        <v>13</v>
      </c>
      <c r="R4" s="137"/>
      <c r="S4" s="138"/>
      <c r="T4" s="136" t="s">
        <v>14</v>
      </c>
      <c r="U4" s="137"/>
      <c r="V4" s="137"/>
      <c r="W4" s="137"/>
      <c r="X4" s="137"/>
      <c r="Y4" s="138"/>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122"/>
      <c r="AZ4" s="24"/>
      <c r="BA4" s="62"/>
      <c r="BB4" s="24"/>
      <c r="BC4" s="24"/>
      <c r="BD4" s="25"/>
      <c r="BE4" s="136" t="s">
        <v>15</v>
      </c>
      <c r="BF4" s="137"/>
      <c r="BG4" s="137"/>
      <c r="BH4" s="137"/>
      <c r="BI4" s="137"/>
      <c r="BJ4" s="137"/>
      <c r="BK4" s="138"/>
      <c r="BL4" s="136" t="s">
        <v>16</v>
      </c>
      <c r="BM4" s="137"/>
      <c r="BN4" s="137"/>
      <c r="BO4" s="137"/>
      <c r="BP4" s="137"/>
      <c r="BQ4" s="137"/>
      <c r="BR4" s="138"/>
      <c r="BS4" s="136"/>
      <c r="BT4" s="137"/>
      <c r="BU4" s="137"/>
      <c r="BV4" s="137"/>
      <c r="BW4" s="138"/>
      <c r="BX4" s="80"/>
      <c r="BY4" s="80"/>
      <c r="BZ4" s="34"/>
      <c r="CA4" s="34"/>
      <c r="CB4" s="34"/>
      <c r="CC4" s="34"/>
      <c r="CD4" s="34"/>
      <c r="CE4" s="34"/>
      <c r="CF4"/>
      <c r="CG4"/>
      <c r="CH4"/>
      <c r="CI4"/>
      <c r="CJ4"/>
      <c r="CK4"/>
      <c r="CL4"/>
      <c r="CM4"/>
      <c r="CN4"/>
      <c r="CO4"/>
    </row>
    <row r="5" spans="1:94" ht="16" hidden="1" thickBot="1" x14ac:dyDescent="0.25">
      <c r="AR5" s="63"/>
      <c r="AS5" s="1"/>
      <c r="AT5" s="1"/>
      <c r="AU5" s="1"/>
      <c r="AV5" s="1"/>
      <c r="AZ5" s="1"/>
      <c r="BA5" s="1"/>
      <c r="BB5" s="1"/>
      <c r="BC5" s="1"/>
      <c r="BD5" s="1"/>
      <c r="BE5" s="1"/>
      <c r="BF5" s="1"/>
      <c r="BG5" s="1"/>
      <c r="BH5" s="1"/>
      <c r="BI5" s="1"/>
      <c r="BJ5" s="1"/>
      <c r="BK5" s="1"/>
      <c r="BL5" s="1"/>
      <c r="BM5" s="1"/>
      <c r="BN5" s="1"/>
      <c r="BO5" s="1"/>
      <c r="BP5" s="1"/>
      <c r="BQ5" s="1"/>
      <c r="BR5" s="1"/>
      <c r="BS5" s="1"/>
      <c r="BT5" s="1"/>
      <c r="BU5" s="1"/>
      <c r="BV5" s="1"/>
      <c r="BX5" s="1"/>
      <c r="BY5" s="1"/>
      <c r="BZ5" s="1"/>
      <c r="CA5" s="1"/>
      <c r="CB5" s="1"/>
      <c r="CC5" s="1"/>
      <c r="CD5" s="1"/>
      <c r="CE5" s="1"/>
      <c r="CF5" s="1"/>
      <c r="CG5" s="1"/>
      <c r="CH5" s="1"/>
      <c r="CI5" s="1"/>
      <c r="CJ5" s="1"/>
      <c r="CK5" s="1"/>
      <c r="CL5" s="1"/>
      <c r="CM5" s="1"/>
      <c r="CN5" s="1"/>
      <c r="CO5" s="1"/>
      <c r="CP5" s="1"/>
    </row>
    <row r="6" spans="1:94" ht="16" hidden="1" thickBot="1" x14ac:dyDescent="0.25"/>
    <row r="7" spans="1:94" s="2" customFormat="1" ht="218" thickBot="1" x14ac:dyDescent="0.25">
      <c r="A7" s="6" t="s">
        <v>17</v>
      </c>
      <c r="B7" s="7" t="s">
        <v>18</v>
      </c>
      <c r="C7" s="129" t="s">
        <v>19</v>
      </c>
      <c r="D7" s="3" t="s">
        <v>20</v>
      </c>
      <c r="E7" s="4" t="s">
        <v>21</v>
      </c>
      <c r="F7" s="4" t="s">
        <v>22</v>
      </c>
      <c r="G7" s="4" t="s">
        <v>23</v>
      </c>
      <c r="H7" s="4" t="s">
        <v>24</v>
      </c>
      <c r="I7" s="9" t="s">
        <v>25</v>
      </c>
      <c r="J7" s="10" t="s">
        <v>126</v>
      </c>
      <c r="K7" s="10" t="s">
        <v>127</v>
      </c>
      <c r="L7" s="10" t="s">
        <v>128</v>
      </c>
      <c r="M7" s="11" t="s">
        <v>129</v>
      </c>
      <c r="N7" s="10" t="s">
        <v>26</v>
      </c>
      <c r="O7" s="10" t="s">
        <v>27</v>
      </c>
      <c r="P7" s="11" t="s">
        <v>28</v>
      </c>
      <c r="Q7" s="9" t="s">
        <v>29</v>
      </c>
      <c r="R7" s="10" t="s">
        <v>30</v>
      </c>
      <c r="S7" s="11" t="s">
        <v>31</v>
      </c>
      <c r="T7" s="9" t="s">
        <v>32</v>
      </c>
      <c r="U7" s="10" t="s">
        <v>33</v>
      </c>
      <c r="V7" s="10" t="s">
        <v>34</v>
      </c>
      <c r="W7" s="12" t="s">
        <v>35</v>
      </c>
      <c r="X7" s="12" t="s">
        <v>36</v>
      </c>
      <c r="Y7" s="13" t="s">
        <v>37</v>
      </c>
      <c r="Z7" s="9" t="s">
        <v>15</v>
      </c>
      <c r="AA7" s="11" t="s">
        <v>16</v>
      </c>
      <c r="AB7" s="10" t="s">
        <v>110</v>
      </c>
      <c r="AC7" s="9" t="s">
        <v>38</v>
      </c>
      <c r="AD7" s="10" t="s">
        <v>111</v>
      </c>
      <c r="AE7" s="10" t="s">
        <v>39</v>
      </c>
      <c r="AF7" s="10" t="s">
        <v>40</v>
      </c>
      <c r="AG7" s="94" t="s">
        <v>112</v>
      </c>
      <c r="AH7" s="94" t="s">
        <v>113</v>
      </c>
      <c r="AI7" s="94" t="s">
        <v>114</v>
      </c>
      <c r="AJ7" s="121" t="s">
        <v>115</v>
      </c>
      <c r="AK7" s="14" t="s">
        <v>41</v>
      </c>
      <c r="AL7" s="9" t="s">
        <v>42</v>
      </c>
      <c r="AM7" s="94" t="s">
        <v>122</v>
      </c>
      <c r="AN7" s="10" t="s">
        <v>43</v>
      </c>
      <c r="AO7" s="94" t="s">
        <v>123</v>
      </c>
      <c r="AP7" s="10" t="s">
        <v>45</v>
      </c>
      <c r="AQ7" s="94" t="s">
        <v>124</v>
      </c>
      <c r="AR7" s="10" t="s">
        <v>44</v>
      </c>
      <c r="AS7" s="94" t="s">
        <v>125</v>
      </c>
      <c r="AT7" s="10" t="s">
        <v>116</v>
      </c>
      <c r="AU7" s="10" t="s">
        <v>117</v>
      </c>
      <c r="AV7" s="94" t="s">
        <v>118</v>
      </c>
      <c r="AW7" s="9" t="s">
        <v>46</v>
      </c>
      <c r="AX7" s="10" t="s">
        <v>47</v>
      </c>
      <c r="AY7" s="123" t="s">
        <v>48</v>
      </c>
      <c r="AZ7" s="10" t="s">
        <v>49</v>
      </c>
      <c r="BA7" s="98" t="s">
        <v>50</v>
      </c>
      <c r="BB7" s="10" t="s">
        <v>51</v>
      </c>
      <c r="BC7" s="10" t="s">
        <v>52</v>
      </c>
      <c r="BD7" s="10" t="s">
        <v>108</v>
      </c>
      <c r="BE7" s="9" t="s">
        <v>53</v>
      </c>
      <c r="BF7" s="10" t="s">
        <v>54</v>
      </c>
      <c r="BG7" s="10" t="s">
        <v>55</v>
      </c>
      <c r="BH7" s="10" t="s">
        <v>56</v>
      </c>
      <c r="BI7" s="10" t="s">
        <v>57</v>
      </c>
      <c r="BJ7" s="10" t="s">
        <v>58</v>
      </c>
      <c r="BK7" s="11" t="s">
        <v>59</v>
      </c>
      <c r="BL7" s="9" t="s">
        <v>60</v>
      </c>
      <c r="BM7" s="10" t="s">
        <v>61</v>
      </c>
      <c r="BN7" s="10" t="s">
        <v>62</v>
      </c>
      <c r="BO7" s="10" t="s">
        <v>63</v>
      </c>
      <c r="BP7" s="10" t="s">
        <v>64</v>
      </c>
      <c r="BQ7" s="10" t="s">
        <v>65</v>
      </c>
      <c r="BR7" s="10" t="s">
        <v>66</v>
      </c>
      <c r="BS7" s="9" t="s">
        <v>70</v>
      </c>
      <c r="BT7" s="10" t="s">
        <v>67</v>
      </c>
      <c r="BU7" s="10" t="s">
        <v>68</v>
      </c>
      <c r="BV7" s="10" t="s">
        <v>69</v>
      </c>
      <c r="BW7" s="11" t="s">
        <v>71</v>
      </c>
    </row>
    <row r="8" spans="1:94" s="2" customFormat="1" ht="32" x14ac:dyDescent="0.2">
      <c r="A8" s="5" t="s">
        <v>167</v>
      </c>
      <c r="B8" s="5" t="s">
        <v>231</v>
      </c>
      <c r="C8" s="91" t="s">
        <v>232</v>
      </c>
      <c r="D8" s="91" t="s">
        <v>73</v>
      </c>
      <c r="E8" s="5" t="s">
        <v>72</v>
      </c>
      <c r="F8" s="5" t="s">
        <v>72</v>
      </c>
      <c r="G8" s="5" t="s">
        <v>73</v>
      </c>
      <c r="H8" s="104"/>
      <c r="I8" s="5">
        <v>10</v>
      </c>
      <c r="J8" s="1"/>
      <c r="K8" s="1"/>
      <c r="L8" s="1"/>
      <c r="M8" s="1"/>
      <c r="N8" s="5"/>
      <c r="O8" s="5"/>
      <c r="P8" s="5"/>
      <c r="Q8" s="5" t="s">
        <v>73</v>
      </c>
      <c r="R8" s="5" t="s">
        <v>73</v>
      </c>
      <c r="S8" s="5" t="s">
        <v>73</v>
      </c>
      <c r="T8" s="5"/>
      <c r="U8" s="5"/>
      <c r="V8" s="5"/>
      <c r="W8" s="1"/>
      <c r="X8" s="92"/>
      <c r="Y8" s="92"/>
      <c r="Z8" s="5" t="s">
        <v>73</v>
      </c>
      <c r="AA8" s="5" t="s">
        <v>73</v>
      </c>
      <c r="AB8" s="1"/>
      <c r="AC8" s="5">
        <v>5</v>
      </c>
      <c r="AD8"/>
      <c r="AE8" s="5"/>
      <c r="AF8" s="5"/>
      <c r="AG8" s="5">
        <v>5</v>
      </c>
      <c r="AH8" s="5"/>
      <c r="AI8"/>
      <c r="AJ8" s="1"/>
      <c r="AK8" s="5" t="s">
        <v>73</v>
      </c>
      <c r="AL8" s="5" t="s">
        <v>73</v>
      </c>
      <c r="AM8"/>
      <c r="AN8" s="5" t="s">
        <v>73</v>
      </c>
      <c r="AO8"/>
      <c r="AP8" s="5" t="s">
        <v>73</v>
      </c>
      <c r="AQ8"/>
      <c r="AR8" s="5" t="s">
        <v>73</v>
      </c>
      <c r="AS8"/>
      <c r="AT8" t="s">
        <v>73</v>
      </c>
      <c r="AU8"/>
      <c r="AV8"/>
      <c r="AW8" s="1">
        <v>70</v>
      </c>
      <c r="AX8" s="1">
        <v>5</v>
      </c>
      <c r="AY8" s="124" t="s">
        <v>72</v>
      </c>
      <c r="AZ8" s="4" t="s">
        <v>73</v>
      </c>
      <c r="BA8" s="93" t="s">
        <v>233</v>
      </c>
      <c r="BB8">
        <v>1872</v>
      </c>
      <c r="BC8" s="103">
        <v>45645.466805555552</v>
      </c>
      <c r="BD8" s="87">
        <v>45645.425138888888</v>
      </c>
      <c r="BE8" t="s">
        <v>73</v>
      </c>
      <c r="BF8" t="s">
        <v>73</v>
      </c>
      <c r="BG8" t="s">
        <v>73</v>
      </c>
      <c r="BH8" t="s">
        <v>73</v>
      </c>
      <c r="BI8" t="s">
        <v>73</v>
      </c>
      <c r="BJ8" t="s">
        <v>73</v>
      </c>
      <c r="BK8"/>
      <c r="BL8" t="s">
        <v>73</v>
      </c>
      <c r="BM8" t="s">
        <v>73</v>
      </c>
      <c r="BN8" t="s">
        <v>73</v>
      </c>
      <c r="BO8" t="s">
        <v>73</v>
      </c>
      <c r="BP8" t="s">
        <v>73</v>
      </c>
      <c r="BQ8" t="s">
        <v>73</v>
      </c>
      <c r="BR8"/>
      <c r="BS8" t="s">
        <v>73</v>
      </c>
      <c r="BT8" t="s">
        <v>73</v>
      </c>
      <c r="BU8" t="s">
        <v>73</v>
      </c>
      <c r="BV8" t="s">
        <v>73</v>
      </c>
      <c r="BW8" s="1"/>
    </row>
    <row r="9" spans="1:94" ht="16" x14ac:dyDescent="0.2">
      <c r="A9" s="5" t="s">
        <v>167</v>
      </c>
      <c r="B9" s="5" t="s">
        <v>203</v>
      </c>
      <c r="C9" s="91" t="s">
        <v>204</v>
      </c>
      <c r="D9" s="91" t="s">
        <v>73</v>
      </c>
      <c r="E9" s="5" t="s">
        <v>72</v>
      </c>
      <c r="F9" s="5" t="s">
        <v>73</v>
      </c>
      <c r="G9" s="5" t="s">
        <v>73</v>
      </c>
      <c r="H9" s="104"/>
      <c r="I9" s="5"/>
      <c r="N9" s="5"/>
      <c r="O9" s="5"/>
      <c r="P9" s="5"/>
      <c r="Q9" s="5" t="s">
        <v>73</v>
      </c>
      <c r="R9" s="5" t="s">
        <v>73</v>
      </c>
      <c r="S9" s="5" t="s">
        <v>73</v>
      </c>
      <c r="T9" s="5"/>
      <c r="U9" s="5"/>
      <c r="V9" s="5"/>
      <c r="X9" s="92"/>
      <c r="Y9" s="92"/>
      <c r="Z9" s="5" t="s">
        <v>73</v>
      </c>
      <c r="AA9" s="5" t="s">
        <v>73</v>
      </c>
      <c r="AC9" s="5"/>
      <c r="AD9"/>
      <c r="AE9" s="5"/>
      <c r="AF9" s="5"/>
      <c r="AG9" s="5"/>
      <c r="AH9" s="5"/>
      <c r="AI9"/>
      <c r="AK9" s="5" t="s">
        <v>73</v>
      </c>
      <c r="AL9" s="5" t="s">
        <v>73</v>
      </c>
      <c r="AM9"/>
      <c r="AN9" s="5" t="s">
        <v>73</v>
      </c>
      <c r="AO9"/>
      <c r="AP9" s="5" t="s">
        <v>73</v>
      </c>
      <c r="AQ9"/>
      <c r="AR9" s="5" t="s">
        <v>73</v>
      </c>
      <c r="AT9" t="s">
        <v>73</v>
      </c>
      <c r="AW9" s="1">
        <v>55</v>
      </c>
      <c r="AX9" s="1">
        <v>2</v>
      </c>
      <c r="AY9" s="124" t="s">
        <v>72</v>
      </c>
      <c r="AZ9" s="4" t="s">
        <v>73</v>
      </c>
      <c r="BA9" s="93" t="s">
        <v>73</v>
      </c>
      <c r="BB9">
        <v>1842</v>
      </c>
      <c r="BC9" s="103">
        <v>45642.662719907406</v>
      </c>
      <c r="BD9" s="87">
        <v>45642.621053240742</v>
      </c>
      <c r="BE9" t="s">
        <v>73</v>
      </c>
      <c r="BF9" t="s">
        <v>73</v>
      </c>
      <c r="BG9" t="s">
        <v>73</v>
      </c>
      <c r="BH9" t="s">
        <v>73</v>
      </c>
      <c r="BI9" t="s">
        <v>73</v>
      </c>
      <c r="BJ9" t="s">
        <v>73</v>
      </c>
      <c r="BL9" t="s">
        <v>73</v>
      </c>
      <c r="BM9" t="s">
        <v>73</v>
      </c>
      <c r="BN9" t="s">
        <v>73</v>
      </c>
      <c r="BO9" t="s">
        <v>73</v>
      </c>
      <c r="BP9" t="s">
        <v>73</v>
      </c>
      <c r="BQ9" t="s">
        <v>73</v>
      </c>
      <c r="BS9" t="s">
        <v>73</v>
      </c>
      <c r="BT9" t="s">
        <v>73</v>
      </c>
      <c r="BU9" t="s">
        <v>73</v>
      </c>
      <c r="BV9" t="s">
        <v>73</v>
      </c>
      <c r="CB9"/>
      <c r="CC9"/>
      <c r="CD9"/>
      <c r="CE9"/>
      <c r="CF9"/>
      <c r="CG9"/>
      <c r="CH9"/>
      <c r="CI9"/>
      <c r="CJ9"/>
      <c r="CK9"/>
      <c r="CL9"/>
      <c r="CM9"/>
      <c r="CN9"/>
      <c r="CO9"/>
    </row>
    <row r="10" spans="1:94" ht="16" x14ac:dyDescent="0.2">
      <c r="A10" s="5" t="s">
        <v>167</v>
      </c>
      <c r="B10" s="5" t="s">
        <v>153</v>
      </c>
      <c r="C10" s="91" t="s">
        <v>154</v>
      </c>
      <c r="D10" s="91" t="s">
        <v>73</v>
      </c>
      <c r="E10" s="5" t="s">
        <v>72</v>
      </c>
      <c r="F10" s="5" t="s">
        <v>72</v>
      </c>
      <c r="G10" s="5" t="s">
        <v>73</v>
      </c>
      <c r="H10" s="104"/>
      <c r="I10" s="5">
        <v>14</v>
      </c>
      <c r="N10" s="5">
        <v>6</v>
      </c>
      <c r="O10" s="5"/>
      <c r="P10" s="5"/>
      <c r="Q10" s="5" t="s">
        <v>73</v>
      </c>
      <c r="R10" s="5" t="s">
        <v>73</v>
      </c>
      <c r="S10" s="5" t="s">
        <v>73</v>
      </c>
      <c r="T10" s="5">
        <v>5</v>
      </c>
      <c r="U10" s="5"/>
      <c r="V10" s="5"/>
      <c r="W10" s="1">
        <v>5</v>
      </c>
      <c r="X10" s="92"/>
      <c r="Y10" s="92"/>
      <c r="Z10" s="5" t="s">
        <v>73</v>
      </c>
      <c r="AA10" s="5" t="s">
        <v>73</v>
      </c>
      <c r="AC10" s="5">
        <v>5</v>
      </c>
      <c r="AD10"/>
      <c r="AE10" s="5"/>
      <c r="AF10" s="5"/>
      <c r="AG10" s="5">
        <v>5</v>
      </c>
      <c r="AH10" s="5"/>
      <c r="AI10"/>
      <c r="AK10" s="5" t="s">
        <v>73</v>
      </c>
      <c r="AL10" s="5" t="s">
        <v>73</v>
      </c>
      <c r="AM10"/>
      <c r="AN10" s="5" t="s">
        <v>73</v>
      </c>
      <c r="AO10"/>
      <c r="AP10" s="5" t="s">
        <v>73</v>
      </c>
      <c r="AQ10"/>
      <c r="AR10" s="5" t="s">
        <v>73</v>
      </c>
      <c r="AT10" t="s">
        <v>73</v>
      </c>
      <c r="AW10" s="1">
        <v>50</v>
      </c>
      <c r="AX10" s="1">
        <v>10</v>
      </c>
      <c r="AY10" s="124" t="s">
        <v>72</v>
      </c>
      <c r="AZ10" s="4" t="s">
        <v>73</v>
      </c>
      <c r="BA10" s="93" t="s">
        <v>73</v>
      </c>
      <c r="BB10">
        <v>1837</v>
      </c>
      <c r="BC10" s="103">
        <v>45641.532141203701</v>
      </c>
      <c r="BD10" s="87">
        <v>45641.490474537037</v>
      </c>
      <c r="BE10" t="s">
        <v>73</v>
      </c>
      <c r="BF10" t="s">
        <v>73</v>
      </c>
      <c r="BG10" t="s">
        <v>73</v>
      </c>
      <c r="BH10" t="s">
        <v>73</v>
      </c>
      <c r="BI10" t="s">
        <v>73</v>
      </c>
      <c r="BJ10" t="s">
        <v>73</v>
      </c>
      <c r="BL10" t="s">
        <v>73</v>
      </c>
      <c r="BM10" t="s">
        <v>73</v>
      </c>
      <c r="BN10" t="s">
        <v>73</v>
      </c>
      <c r="BO10" t="s">
        <v>73</v>
      </c>
      <c r="BP10" t="s">
        <v>73</v>
      </c>
      <c r="BQ10" t="s">
        <v>73</v>
      </c>
      <c r="BS10" t="s">
        <v>73</v>
      </c>
      <c r="BT10" t="s">
        <v>73</v>
      </c>
      <c r="BU10" t="s">
        <v>73</v>
      </c>
      <c r="BV10" t="s">
        <v>73</v>
      </c>
      <c r="BX10" s="33"/>
      <c r="BY10" s="33"/>
      <c r="BZ10" s="33"/>
      <c r="CB10"/>
      <c r="CC10"/>
      <c r="CD10"/>
      <c r="CE10"/>
      <c r="CF10"/>
      <c r="CG10"/>
      <c r="CH10"/>
      <c r="CI10"/>
      <c r="CJ10"/>
      <c r="CK10"/>
      <c r="CL10"/>
      <c r="CM10"/>
      <c r="CN10"/>
      <c r="CO10"/>
    </row>
    <row r="11" spans="1:94" ht="16" x14ac:dyDescent="0.2">
      <c r="A11" s="5" t="s">
        <v>167</v>
      </c>
      <c r="B11" s="5" t="s">
        <v>186</v>
      </c>
      <c r="C11" s="91" t="s">
        <v>187</v>
      </c>
      <c r="D11" s="91" t="s">
        <v>73</v>
      </c>
      <c r="E11" s="5" t="s">
        <v>72</v>
      </c>
      <c r="F11" s="5" t="s">
        <v>73</v>
      </c>
      <c r="G11" s="5" t="s">
        <v>72</v>
      </c>
      <c r="H11" s="104" t="s">
        <v>74</v>
      </c>
      <c r="I11" s="5">
        <v>7</v>
      </c>
      <c r="N11" s="5"/>
      <c r="O11" s="5"/>
      <c r="P11" s="5"/>
      <c r="Q11" s="5" t="s">
        <v>73</v>
      </c>
      <c r="R11" s="5" t="s">
        <v>73</v>
      </c>
      <c r="S11" s="5" t="s">
        <v>73</v>
      </c>
      <c r="T11" s="5"/>
      <c r="U11" s="5"/>
      <c r="V11" s="5"/>
      <c r="W11" s="1">
        <v>1</v>
      </c>
      <c r="X11" s="92"/>
      <c r="Y11" s="92"/>
      <c r="Z11" s="5" t="s">
        <v>73</v>
      </c>
      <c r="AA11" s="5" t="s">
        <v>73</v>
      </c>
      <c r="AB11" s="1">
        <v>4</v>
      </c>
      <c r="AC11" s="5">
        <v>5</v>
      </c>
      <c r="AD11"/>
      <c r="AE11" s="5"/>
      <c r="AF11" s="5"/>
      <c r="AG11" s="5">
        <v>4</v>
      </c>
      <c r="AH11" s="5"/>
      <c r="AI11"/>
      <c r="AK11" s="5" t="s">
        <v>73</v>
      </c>
      <c r="AL11" s="5" t="s">
        <v>73</v>
      </c>
      <c r="AM11"/>
      <c r="AN11" s="5" t="s">
        <v>73</v>
      </c>
      <c r="AO11"/>
      <c r="AP11" s="5" t="s">
        <v>73</v>
      </c>
      <c r="AQ11"/>
      <c r="AR11" s="5" t="s">
        <v>73</v>
      </c>
      <c r="AT11" t="s">
        <v>73</v>
      </c>
      <c r="AW11" s="1">
        <v>90</v>
      </c>
      <c r="AX11" s="1">
        <v>20</v>
      </c>
      <c r="AY11" s="124" t="s">
        <v>72</v>
      </c>
      <c r="AZ11" s="4" t="s">
        <v>73</v>
      </c>
      <c r="BA11" s="93" t="s">
        <v>73</v>
      </c>
      <c r="BB11">
        <v>1835</v>
      </c>
      <c r="BC11" s="103">
        <v>45639.889189814814</v>
      </c>
      <c r="BD11" s="87">
        <v>45639.84752314815</v>
      </c>
      <c r="BE11" t="s">
        <v>73</v>
      </c>
      <c r="BF11" t="s">
        <v>73</v>
      </c>
      <c r="BG11" t="s">
        <v>73</v>
      </c>
      <c r="BH11" t="s">
        <v>73</v>
      </c>
      <c r="BI11" t="s">
        <v>73</v>
      </c>
      <c r="BJ11" t="s">
        <v>73</v>
      </c>
      <c r="BL11" t="s">
        <v>73</v>
      </c>
      <c r="BM11" t="s">
        <v>73</v>
      </c>
      <c r="BN11" t="s">
        <v>73</v>
      </c>
      <c r="BO11" t="s">
        <v>73</v>
      </c>
      <c r="BP11" t="s">
        <v>73</v>
      </c>
      <c r="BQ11" t="s">
        <v>73</v>
      </c>
      <c r="BS11" t="s">
        <v>75</v>
      </c>
      <c r="BT11" t="s">
        <v>188</v>
      </c>
      <c r="BU11" t="s">
        <v>189</v>
      </c>
      <c r="BV11" t="s">
        <v>190</v>
      </c>
      <c r="BW11" s="1">
        <v>8</v>
      </c>
      <c r="BX11" s="1"/>
      <c r="BY11" s="1"/>
      <c r="CB11"/>
      <c r="CC11"/>
      <c r="CD11"/>
      <c r="CE11"/>
      <c r="CF11"/>
      <c r="CG11"/>
      <c r="CH11"/>
      <c r="CI11"/>
      <c r="CJ11"/>
      <c r="CK11"/>
      <c r="CL11"/>
      <c r="CM11"/>
      <c r="CN11"/>
      <c r="CO11"/>
    </row>
    <row r="12" spans="1:94" ht="17" thickBot="1" x14ac:dyDescent="0.25">
      <c r="A12" s="5" t="s">
        <v>167</v>
      </c>
      <c r="B12" s="5" t="s">
        <v>172</v>
      </c>
      <c r="C12" s="91" t="s">
        <v>168</v>
      </c>
      <c r="D12" s="91" t="s">
        <v>73</v>
      </c>
      <c r="E12" s="5" t="s">
        <v>72</v>
      </c>
      <c r="F12" s="5" t="s">
        <v>72</v>
      </c>
      <c r="G12" s="5" t="s">
        <v>73</v>
      </c>
      <c r="H12" s="104" t="s">
        <v>72</v>
      </c>
      <c r="I12" s="5">
        <v>10</v>
      </c>
      <c r="J12" s="1">
        <v>3</v>
      </c>
      <c r="L12" s="1">
        <v>7</v>
      </c>
      <c r="N12" s="5"/>
      <c r="O12" s="5"/>
      <c r="P12" s="5"/>
      <c r="Q12" s="5" t="s">
        <v>73</v>
      </c>
      <c r="R12" s="5" t="s">
        <v>73</v>
      </c>
      <c r="S12" s="5" t="s">
        <v>73</v>
      </c>
      <c r="T12" s="5"/>
      <c r="U12" s="5"/>
      <c r="V12" s="5"/>
      <c r="X12" s="92"/>
      <c r="Y12" s="92"/>
      <c r="Z12" s="5" t="s">
        <v>73</v>
      </c>
      <c r="AA12" s="5" t="s">
        <v>73</v>
      </c>
      <c r="AB12" s="1">
        <v>1</v>
      </c>
      <c r="AC12" s="5">
        <v>11</v>
      </c>
      <c r="AD12"/>
      <c r="AE12" s="5"/>
      <c r="AF12" s="5">
        <v>4</v>
      </c>
      <c r="AG12" s="5">
        <v>11</v>
      </c>
      <c r="AH12" s="5"/>
      <c r="AI12"/>
      <c r="AJ12" s="1">
        <v>4</v>
      </c>
      <c r="AK12" s="5" t="s">
        <v>73</v>
      </c>
      <c r="AL12" s="5" t="s">
        <v>73</v>
      </c>
      <c r="AM12"/>
      <c r="AN12" s="5" t="s">
        <v>73</v>
      </c>
      <c r="AO12"/>
      <c r="AP12" s="5" t="s">
        <v>73</v>
      </c>
      <c r="AQ12"/>
      <c r="AR12" s="5" t="s">
        <v>73</v>
      </c>
      <c r="AT12" t="s">
        <v>73</v>
      </c>
      <c r="AW12" s="1">
        <v>105</v>
      </c>
      <c r="AX12" s="1">
        <v>26</v>
      </c>
      <c r="AY12" s="124" t="s">
        <v>73</v>
      </c>
      <c r="AZ12" s="4" t="s">
        <v>73</v>
      </c>
      <c r="BA12" s="93" t="s">
        <v>73</v>
      </c>
      <c r="BB12">
        <v>1832</v>
      </c>
      <c r="BC12" s="103">
        <v>45639.39634259259</v>
      </c>
      <c r="BD12" s="87">
        <v>45639.354675925926</v>
      </c>
      <c r="BE12" t="s">
        <v>73</v>
      </c>
      <c r="BF12" t="s">
        <v>73</v>
      </c>
      <c r="BG12" t="s">
        <v>73</v>
      </c>
      <c r="BH12" t="s">
        <v>73</v>
      </c>
      <c r="BI12" t="s">
        <v>73</v>
      </c>
      <c r="BJ12" t="s">
        <v>73</v>
      </c>
      <c r="BL12" t="s">
        <v>73</v>
      </c>
      <c r="BM12" t="s">
        <v>73</v>
      </c>
      <c r="BN12" t="s">
        <v>73</v>
      </c>
      <c r="BO12" t="s">
        <v>73</v>
      </c>
      <c r="BP12" t="s">
        <v>73</v>
      </c>
      <c r="BQ12" t="s">
        <v>73</v>
      </c>
      <c r="BS12" t="s">
        <v>169</v>
      </c>
      <c r="BT12" t="s">
        <v>196</v>
      </c>
      <c r="BU12" t="s">
        <v>197</v>
      </c>
      <c r="BV12" t="s">
        <v>198</v>
      </c>
      <c r="BW12" s="1">
        <v>16</v>
      </c>
      <c r="BX12" s="33"/>
      <c r="BY12" s="33"/>
      <c r="BZ12" s="33"/>
      <c r="CB12"/>
      <c r="CC12"/>
      <c r="CD12"/>
      <c r="CE12"/>
      <c r="CF12"/>
      <c r="CG12"/>
      <c r="CH12"/>
      <c r="CI12"/>
      <c r="CJ12"/>
      <c r="CK12"/>
      <c r="CL12"/>
      <c r="CM12"/>
      <c r="CN12"/>
      <c r="CO12"/>
    </row>
    <row r="13" spans="1:94" ht="16" thickTop="1" x14ac:dyDescent="0.2">
      <c r="A13" t="s">
        <v>79</v>
      </c>
      <c r="C13" s="132">
        <f>SUBTOTAL(103,KDM[Naam vereniging])</f>
        <v>5</v>
      </c>
      <c r="D13" s="1">
        <f>COUNTIF(KDM[Delegatie],"x")</f>
        <v>0</v>
      </c>
      <c r="E13" s="16">
        <f>COUNTIF(KDM[Muziekkorps bij mars en defilé],"x")</f>
        <v>5</v>
      </c>
      <c r="F13" s="16">
        <f>COUNTIF(KDM[Deeln. jeugdkoningschieten],"x")</f>
        <v>3</v>
      </c>
      <c r="G13" s="16">
        <f>COUNTIF(KDM[Maj. Senioren jureren bij mars],"x")</f>
        <v>1</v>
      </c>
      <c r="H13" s="16">
        <f>COUNTIF(KDM[Maj. Jeugd jureren bij mars],"x")</f>
        <v>1</v>
      </c>
      <c r="I13" s="1">
        <f>SUBTOTAL(103,KDM[Korps senioren])</f>
        <v>4</v>
      </c>
      <c r="J13" s="1">
        <f>SUBTOTAL(103,KDM[Junioren korps 1])</f>
        <v>1</v>
      </c>
      <c r="K13" s="1">
        <f>SUBTOTAL(103,KDM[Junioren korps 2])</f>
        <v>0</v>
      </c>
      <c r="L13" s="1">
        <f>SUBTOTAL(103,KDM[Aspiranten korps 1])</f>
        <v>1</v>
      </c>
      <c r="M13" s="1">
        <f>SUBTOTAL(103,KDM[Aspiranten korps 2])</f>
        <v>0</v>
      </c>
      <c r="N13" s="1">
        <f>SUBTOTAL(103,KDM[Acrobatisch senioren])</f>
        <v>1</v>
      </c>
      <c r="O13" s="1">
        <f>SUBTOTAL(103,KDM[Acrobatisch junioren])</f>
        <v>0</v>
      </c>
      <c r="P13" s="1">
        <f>SUBTOTAL(103,KDM[Acrobatisch aspiranten])</f>
        <v>0</v>
      </c>
      <c r="T13" s="79">
        <f>SUBTOTAL(109,KDM[Senioren indiv.])</f>
        <v>5</v>
      </c>
      <c r="U13" s="79">
        <f>SUBTOTAL(109,KDM[Junioren indiv.])</f>
        <v>0</v>
      </c>
      <c r="V13" s="1">
        <f>SUBTOTAL(109,KDM[Aspiranten indiv.])</f>
        <v>0</v>
      </c>
      <c r="W13" s="1">
        <f>SUBTOTAL(109,KDM[Sen. ind opgegeven namen])</f>
        <v>6</v>
      </c>
      <c r="X13" s="1">
        <f>SUBTOTAL(109,KDM[Jun. ind opgegeven namen])</f>
        <v>0</v>
      </c>
      <c r="Y13" s="1">
        <f>SUBTOTAL(109,KDM[Asp. ind opgegeven namen])</f>
        <v>0</v>
      </c>
      <c r="Z13" s="16">
        <f>COUNTIF(KDM[Hoofdkorps],"x")</f>
        <v>0</v>
      </c>
      <c r="AA13" s="120">
        <f>COUNTIF(KDM[2e korps],"x")</f>
        <v>0</v>
      </c>
      <c r="AB13" s="1">
        <f>SUBTOTAL(109,KDM[Groepen, teams, ensembles en duo''s])</f>
        <v>5</v>
      </c>
      <c r="AC13" s="1">
        <f>SUBTOTAL(109,KDM[Senioren])</f>
        <v>26</v>
      </c>
      <c r="AD13" s="1">
        <f>SUBTOTAL(109,KDM[Jong volwassene])</f>
        <v>0</v>
      </c>
      <c r="AE13" s="1">
        <f>SUBTOTAL(109,KDM[Junioren])</f>
        <v>0</v>
      </c>
      <c r="AF13" s="1">
        <f>SUBTOTAL(109,KDM[Aspiranten])</f>
        <v>4</v>
      </c>
      <c r="AG13" s="1">
        <f>SUBTOTAL(109,KDM[Opgegeven senioren])</f>
        <v>25</v>
      </c>
      <c r="AH13" s="1">
        <f>SUBTOTAL(109,KDM[Opgegeven jong volwassene])</f>
        <v>0</v>
      </c>
      <c r="AI13" s="1">
        <f>SUBTOTAL(109,KDM[Opgegeven junioren])</f>
        <v>0</v>
      </c>
      <c r="AJ13" s="1">
        <f>SUBTOTAL(109,KDM[Opgegeven aspiranten])</f>
        <v>4</v>
      </c>
      <c r="AK13" s="1">
        <f>COUNTIF(KDM[Marketentsters],"x")</f>
        <v>0</v>
      </c>
      <c r="AL13" s="1">
        <f>COUNTIF(KDM[Luchtgeweer],"x")</f>
        <v>0</v>
      </c>
      <c r="AM13" s="1">
        <f>SUBTOTAL(109,KDM[Aantal luchtgeweerschutters])</f>
        <v>0</v>
      </c>
      <c r="AN13" s="1">
        <f>COUNTIF(KDM[Luchtpistool],"x")</f>
        <v>0</v>
      </c>
      <c r="AO13" s="1">
        <f>SUBTOTAL(109,KDM[Aantal luchtpistoolschutters])</f>
        <v>0</v>
      </c>
      <c r="AP13" s="1">
        <f>COUNTIF(KDM[Handboog],"x")</f>
        <v>0</v>
      </c>
      <c r="AQ13" s="1">
        <f>SUBTOTAL(109,KDM[Aantal handboogschutters])</f>
        <v>0</v>
      </c>
      <c r="AR13" s="1">
        <f>COUNTIF(KDM[Kruisboog],"x")</f>
        <v>0</v>
      </c>
      <c r="AS13" s="1">
        <f>SUBTOTAL(109,KDM[Aantal kruisboogschutters])</f>
        <v>0</v>
      </c>
      <c r="AT13" s="1">
        <f>COUNTIF(KDM[Luchtgeweer jeugd niet ouder dan 17 jaar.],"x")</f>
        <v>0</v>
      </c>
      <c r="AU13" s="1">
        <f>SUBTOTAL(109,KDM[Aantal korpsen])</f>
        <v>0</v>
      </c>
      <c r="AV13" s="1">
        <f>SUBTOTAL(109,KDM[Opgegeven jeugdkorpsen LG])</f>
        <v>0</v>
      </c>
      <c r="AW13" s="1">
        <f>SUBTOTAL(109,KDM[Totaal aantal deelnemers])</f>
        <v>370</v>
      </c>
      <c r="AX13" s="1">
        <f>SUBTOTAL(109,KDM[Waarvan aantal jeugd (t/m 15 jaar)])</f>
        <v>63</v>
      </c>
      <c r="AY13" s="86">
        <f>COUNTIF(KDM[Kanon etc.],"x")</f>
        <v>4</v>
      </c>
      <c r="AZ13" s="1">
        <f>COUNTIF(KDM[Paarden en/of koetsen],"x")</f>
        <v>0</v>
      </c>
      <c r="BA13" s="63"/>
      <c r="BB13" s="1"/>
      <c r="BC13" s="1"/>
      <c r="BD13" s="1"/>
      <c r="BE13" s="1"/>
      <c r="BF13" s="1"/>
      <c r="BG13" s="1"/>
      <c r="BH13" s="1"/>
      <c r="BI13" s="1"/>
      <c r="BJ13" s="1"/>
      <c r="BK13" s="1"/>
      <c r="BL13" s="1"/>
      <c r="BM13" s="1"/>
      <c r="BN13" s="1"/>
      <c r="BO13" s="1"/>
      <c r="BP13" s="1"/>
      <c r="BQ13" s="1"/>
      <c r="BR13" s="1"/>
      <c r="BS13" s="1"/>
      <c r="BT13" s="1"/>
      <c r="BU13" s="1"/>
      <c r="BV13" s="1"/>
      <c r="BW13" s="1">
        <f>SUBTOTAL(109,KDM[Aantal opgegeven majorettes])</f>
        <v>24</v>
      </c>
      <c r="BX13" s="33"/>
      <c r="BY13" s="33"/>
      <c r="BZ13" s="33"/>
      <c r="CB13"/>
      <c r="CC13"/>
      <c r="CD13"/>
      <c r="CE13"/>
      <c r="CF13"/>
      <c r="CG13"/>
      <c r="CH13"/>
      <c r="CI13"/>
      <c r="CJ13"/>
      <c r="CK13"/>
      <c r="CL13"/>
      <c r="CM13"/>
      <c r="CN13"/>
      <c r="CO13"/>
    </row>
    <row r="14" spans="1:94" x14ac:dyDescent="0.2">
      <c r="BX14" s="33"/>
      <c r="BY14" s="33"/>
      <c r="BZ14" s="33"/>
      <c r="CB14"/>
      <c r="CC14"/>
      <c r="CD14"/>
      <c r="CE14"/>
      <c r="CF14"/>
      <c r="CG14"/>
      <c r="CH14"/>
      <c r="CI14"/>
      <c r="CJ14"/>
      <c r="CK14"/>
      <c r="CL14"/>
      <c r="CM14"/>
      <c r="CN14"/>
      <c r="CO14"/>
    </row>
    <row r="15" spans="1:94" x14ac:dyDescent="0.2">
      <c r="C15" s="130"/>
      <c r="BX15" s="33"/>
      <c r="BY15" s="33"/>
      <c r="BZ15" s="33"/>
      <c r="CB15"/>
      <c r="CC15"/>
      <c r="CD15"/>
      <c r="CE15"/>
      <c r="CF15"/>
      <c r="CG15"/>
      <c r="CH15"/>
      <c r="CI15"/>
      <c r="CJ15"/>
      <c r="CK15"/>
      <c r="CL15"/>
      <c r="CM15"/>
      <c r="CN15"/>
      <c r="CO15"/>
    </row>
    <row r="16" spans="1:94" x14ac:dyDescent="0.2">
      <c r="B16" s="81"/>
      <c r="C16" s="131"/>
      <c r="D16" s="70"/>
      <c r="R16" s="82"/>
      <c r="BX16" s="33"/>
      <c r="BY16" s="33"/>
      <c r="BZ16" s="33"/>
      <c r="CB16"/>
      <c r="CC16"/>
      <c r="CD16"/>
      <c r="CE16"/>
      <c r="CF16"/>
      <c r="CG16"/>
      <c r="CH16"/>
      <c r="CI16"/>
      <c r="CJ16"/>
      <c r="CK16"/>
      <c r="CL16"/>
      <c r="CM16"/>
      <c r="CN16"/>
      <c r="CO16"/>
    </row>
    <row r="17" spans="76:93" x14ac:dyDescent="0.2">
      <c r="BX17" s="33"/>
      <c r="BY17" s="33"/>
      <c r="BZ17" s="33"/>
      <c r="CB17"/>
      <c r="CC17"/>
      <c r="CD17"/>
      <c r="CE17"/>
      <c r="CF17"/>
      <c r="CG17"/>
      <c r="CH17"/>
      <c r="CI17"/>
      <c r="CJ17"/>
      <c r="CK17"/>
      <c r="CL17"/>
      <c r="CM17"/>
      <c r="CN17"/>
      <c r="CO17"/>
    </row>
    <row r="18" spans="76:93" x14ac:dyDescent="0.2">
      <c r="BX18" s="33"/>
      <c r="BY18" s="33"/>
      <c r="BZ18" s="33"/>
      <c r="CB18"/>
      <c r="CC18"/>
      <c r="CD18"/>
      <c r="CE18"/>
      <c r="CF18"/>
      <c r="CG18"/>
      <c r="CH18"/>
      <c r="CI18"/>
      <c r="CJ18"/>
      <c r="CK18"/>
      <c r="CL18"/>
      <c r="CM18"/>
      <c r="CN18"/>
      <c r="CO18"/>
    </row>
    <row r="19" spans="76:93" x14ac:dyDescent="0.2">
      <c r="BX19" s="33"/>
      <c r="BY19" s="33"/>
      <c r="BZ19" s="33"/>
      <c r="CA19" s="33"/>
      <c r="CD19"/>
      <c r="CE19"/>
      <c r="CF19"/>
      <c r="CG19"/>
      <c r="CH19"/>
      <c r="CI19"/>
      <c r="CJ19"/>
      <c r="CK19"/>
      <c r="CL19"/>
      <c r="CM19"/>
      <c r="CN19"/>
      <c r="CO19"/>
    </row>
    <row r="20" spans="76:93" x14ac:dyDescent="0.2">
      <c r="BX20" s="33"/>
      <c r="BY20" s="33"/>
      <c r="BZ20" s="33"/>
      <c r="CA20" s="33"/>
      <c r="CD20"/>
      <c r="CE20"/>
      <c r="CF20"/>
      <c r="CG20"/>
      <c r="CH20"/>
      <c r="CI20"/>
      <c r="CJ20"/>
      <c r="CK20"/>
      <c r="CL20"/>
      <c r="CM20"/>
      <c r="CN20"/>
      <c r="CO20"/>
    </row>
    <row r="21" spans="76:93" x14ac:dyDescent="0.2">
      <c r="BX21" s="33"/>
      <c r="BY21" s="33"/>
      <c r="BZ21" s="33"/>
      <c r="CA21" s="33"/>
      <c r="CD21"/>
      <c r="CE21"/>
      <c r="CF21"/>
      <c r="CG21"/>
      <c r="CH21"/>
      <c r="CI21"/>
      <c r="CJ21"/>
      <c r="CK21"/>
      <c r="CL21"/>
      <c r="CM21"/>
      <c r="CN21"/>
      <c r="CO21"/>
    </row>
    <row r="22" spans="76:93" x14ac:dyDescent="0.2">
      <c r="BX22" s="33"/>
      <c r="BY22" s="33"/>
      <c r="BZ22" s="33"/>
      <c r="CA22" s="33"/>
      <c r="CD22"/>
      <c r="CE22"/>
      <c r="CF22"/>
      <c r="CG22"/>
      <c r="CH22"/>
      <c r="CI22"/>
      <c r="CJ22"/>
      <c r="CK22"/>
      <c r="CL22"/>
      <c r="CM22"/>
      <c r="CN22"/>
      <c r="CO22"/>
    </row>
    <row r="23" spans="76:93" x14ac:dyDescent="0.2">
      <c r="BX23" s="33"/>
      <c r="BY23" s="33"/>
      <c r="BZ23" s="33"/>
      <c r="CA23" s="33"/>
      <c r="CD23"/>
      <c r="CE23"/>
      <c r="CF23"/>
      <c r="CG23"/>
      <c r="CH23"/>
      <c r="CI23"/>
      <c r="CJ23"/>
      <c r="CK23"/>
      <c r="CL23"/>
      <c r="CM23"/>
      <c r="CN23"/>
      <c r="CO23"/>
    </row>
    <row r="24" spans="76:93" x14ac:dyDescent="0.2">
      <c r="BX24" s="33"/>
      <c r="BY24" s="33"/>
      <c r="BZ24" s="33"/>
      <c r="CA24" s="33"/>
      <c r="CD24"/>
      <c r="CE24"/>
      <c r="CF24"/>
      <c r="CG24"/>
      <c r="CH24"/>
      <c r="CI24"/>
      <c r="CJ24"/>
      <c r="CK24"/>
      <c r="CL24"/>
      <c r="CM24"/>
      <c r="CN24"/>
      <c r="CO24"/>
    </row>
    <row r="25" spans="76:93" x14ac:dyDescent="0.2">
      <c r="BX25" s="33"/>
      <c r="BY25" s="33"/>
      <c r="BZ25" s="33"/>
      <c r="CA25" s="33"/>
      <c r="CD25"/>
      <c r="CE25"/>
      <c r="CF25"/>
      <c r="CG25"/>
      <c r="CH25"/>
      <c r="CI25"/>
      <c r="CJ25"/>
      <c r="CK25"/>
      <c r="CL25"/>
      <c r="CM25"/>
      <c r="CN25"/>
      <c r="CO25"/>
    </row>
  </sheetData>
  <mergeCells count="15">
    <mergeCell ref="A1:CC1"/>
    <mergeCell ref="A2:CC2"/>
    <mergeCell ref="D3:H3"/>
    <mergeCell ref="AL3:AV3"/>
    <mergeCell ref="N4:P4"/>
    <mergeCell ref="Q4:S4"/>
    <mergeCell ref="T4:Y4"/>
    <mergeCell ref="Z3:AA3"/>
    <mergeCell ref="I3:Y3"/>
    <mergeCell ref="BL4:BR4"/>
    <mergeCell ref="BE3:BR3"/>
    <mergeCell ref="BE4:BK4"/>
    <mergeCell ref="BS3:BW3"/>
    <mergeCell ref="BS4:BW4"/>
    <mergeCell ref="AW3:BD3"/>
  </mergeCells>
  <phoneticPr fontId="2" type="noConversion"/>
  <conditionalFormatting sqref="W7:W12">
    <cfRule type="expression" dxfId="28" priority="2">
      <formula>$T7-$W7&lt;&gt;0</formula>
    </cfRule>
  </conditionalFormatting>
  <conditionalFormatting sqref="X7:X12">
    <cfRule type="expression" dxfId="27" priority="3">
      <formula>$U7-$X7&lt;&gt;0</formula>
    </cfRule>
  </conditionalFormatting>
  <conditionalFormatting sqref="Y7:Y12">
    <cfRule type="expression" dxfId="26" priority="15">
      <formula>$V7-$Y7&lt;&gt;0</formula>
    </cfRule>
  </conditionalFormatting>
  <pageMargins left="0.7" right="0.7" top="0.75" bottom="0.75" header="0.3" footer="0.3"/>
  <pageSetup orientation="portrait" horizontalDpi="12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34BBF9-126C-4F7E-AE91-412B5FD3E7A6}">
  <dimension ref="A1:CM26"/>
  <sheetViews>
    <sheetView zoomScale="110" zoomScaleNormal="110" workbookViewId="0">
      <pane xSplit="3" ySplit="6" topLeftCell="D7" activePane="bottomRight" state="frozen"/>
      <selection pane="topRight" activeCell="D1" sqref="D1"/>
      <selection pane="bottomLeft" activeCell="A7" sqref="A7"/>
      <selection pane="bottomRight" activeCell="A9" sqref="A9:XFD9"/>
    </sheetView>
  </sheetViews>
  <sheetFormatPr baseColWidth="10" defaultColWidth="9.1640625" defaultRowHeight="15" x14ac:dyDescent="0.2"/>
  <cols>
    <col min="1" max="1" width="10.33203125" bestFit="1" customWidth="1"/>
    <col min="2" max="2" width="8.6640625" bestFit="1" customWidth="1"/>
    <col min="3" max="3" width="38.1640625" bestFit="1" customWidth="1"/>
    <col min="4" max="4" width="3.5" style="1" bestFit="1" customWidth="1"/>
    <col min="5" max="16" width="8.5" style="1" bestFit="1" customWidth="1"/>
    <col min="17" max="19" width="7.6640625" style="1" hidden="1" customWidth="1"/>
    <col min="20" max="26" width="8.5" style="1" bestFit="1" customWidth="1"/>
    <col min="27" max="27" width="7.6640625" style="1" hidden="1" customWidth="1"/>
    <col min="28" max="32" width="8.5" style="1" bestFit="1" customWidth="1"/>
    <col min="33" max="36" width="3.5" style="1" bestFit="1" customWidth="1"/>
    <col min="37" max="38" width="8.5" style="1" bestFit="1" customWidth="1"/>
    <col min="39" max="39" width="3.5" style="1" bestFit="1" customWidth="1"/>
    <col min="40" max="40" width="8.5" style="1" bestFit="1" customWidth="1"/>
    <col min="41" max="41" width="3.5" style="1" bestFit="1" customWidth="1"/>
    <col min="42" max="42" width="8.5" style="1" bestFit="1" customWidth="1"/>
    <col min="43" max="43" width="3.5" style="1" bestFit="1" customWidth="1"/>
    <col min="44" max="44" width="8.5" style="61" bestFit="1" customWidth="1"/>
    <col min="45" max="45" width="3.5" bestFit="1" customWidth="1"/>
    <col min="46" max="47" width="8.5" bestFit="1" customWidth="1"/>
    <col min="48" max="48" width="3.5" bestFit="1" customWidth="1"/>
    <col min="49" max="49" width="8.5" style="63" bestFit="1" customWidth="1"/>
    <col min="50" max="52" width="8.5" style="1" bestFit="1" customWidth="1"/>
    <col min="53" max="53" width="30.1640625" bestFit="1" customWidth="1"/>
    <col min="54" max="54" width="8.5" bestFit="1" customWidth="1"/>
    <col min="55" max="56" width="15" bestFit="1" customWidth="1"/>
    <col min="57" max="63" width="8.5" bestFit="1" customWidth="1"/>
    <col min="64" max="70" width="8.33203125" hidden="1" customWidth="1"/>
    <col min="71" max="75" width="8.5" bestFit="1" customWidth="1"/>
    <col min="76" max="77" width="8.33203125" style="1" customWidth="1"/>
    <col min="78" max="78" width="7.6640625" style="1" bestFit="1" customWidth="1"/>
    <col min="79" max="79" width="10.1640625" style="1" bestFit="1" customWidth="1"/>
    <col min="80" max="80" width="33" style="1" bestFit="1" customWidth="1"/>
    <col min="81" max="82" width="7.6640625" style="1" bestFit="1" customWidth="1"/>
    <col min="83" max="83" width="45.83203125" style="1" bestFit="1" customWidth="1"/>
    <col min="84" max="84" width="10.1640625" style="1" bestFit="1" customWidth="1"/>
    <col min="85" max="87" width="6.83203125" style="1" bestFit="1" customWidth="1"/>
    <col min="88" max="88" width="21.33203125" style="1" bestFit="1" customWidth="1"/>
    <col min="89" max="89" width="15.83203125" style="1" bestFit="1" customWidth="1"/>
    <col min="90" max="91" width="9.33203125" bestFit="1" customWidth="1"/>
  </cols>
  <sheetData>
    <row r="1" spans="1:91" ht="27" customHeight="1" thickBot="1" x14ac:dyDescent="0.25">
      <c r="A1" s="145" t="s">
        <v>81</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c r="AE1" s="146"/>
      <c r="AF1" s="146"/>
      <c r="AG1" s="146"/>
      <c r="AH1" s="146"/>
      <c r="AI1" s="146"/>
      <c r="AJ1" s="146"/>
      <c r="AK1" s="146"/>
      <c r="AL1" s="146"/>
      <c r="AM1" s="146"/>
      <c r="AN1" s="146"/>
      <c r="AO1" s="146"/>
      <c r="AP1" s="146"/>
      <c r="AQ1" s="146"/>
      <c r="AR1" s="146"/>
      <c r="AS1" s="146"/>
      <c r="AT1" s="146"/>
      <c r="AU1" s="146"/>
      <c r="AV1" s="146"/>
      <c r="AW1" s="146"/>
      <c r="AX1" s="146"/>
      <c r="AY1" s="146"/>
      <c r="AZ1" s="146"/>
      <c r="BA1" s="146"/>
      <c r="BB1" s="146"/>
      <c r="BC1" s="146"/>
      <c r="BD1" s="146"/>
      <c r="BE1" s="146"/>
      <c r="BF1" s="146"/>
      <c r="BG1" s="146"/>
      <c r="BH1" s="146"/>
      <c r="BI1" s="146"/>
      <c r="BJ1" s="146"/>
      <c r="BK1" s="146"/>
      <c r="BL1" s="146"/>
      <c r="BM1" s="146"/>
      <c r="BN1" s="146"/>
      <c r="BO1" s="146"/>
      <c r="BP1" s="146"/>
      <c r="BQ1" s="146"/>
      <c r="BR1" s="146"/>
      <c r="BS1" s="146"/>
      <c r="BT1" s="146"/>
      <c r="BU1" s="146"/>
      <c r="BV1" s="146"/>
      <c r="BW1" s="146"/>
      <c r="BX1" s="72"/>
      <c r="BY1" s="72"/>
      <c r="BZ1" s="72"/>
      <c r="CA1" s="72"/>
      <c r="CB1" s="72"/>
      <c r="CC1" s="72"/>
      <c r="CD1" s="72"/>
      <c r="CE1" s="72"/>
      <c r="CF1" s="72"/>
      <c r="CG1" s="72"/>
      <c r="CH1" s="72"/>
      <c r="CI1" s="72"/>
      <c r="CJ1" s="72"/>
      <c r="CK1" s="72"/>
    </row>
    <row r="2" spans="1:91" ht="20" thickBot="1" x14ac:dyDescent="0.3">
      <c r="A2" s="143" t="s">
        <v>139</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73"/>
      <c r="BY2" s="73"/>
      <c r="BZ2" s="73"/>
      <c r="CA2" s="73"/>
      <c r="CB2" s="73"/>
      <c r="CC2" s="73"/>
      <c r="CD2" s="73"/>
      <c r="CE2" s="73"/>
      <c r="CF2" s="73"/>
      <c r="CG2" s="73"/>
      <c r="CH2" s="73"/>
      <c r="CI2" s="73"/>
      <c r="CJ2" s="73"/>
      <c r="CK2" s="73"/>
    </row>
    <row r="3" spans="1:91" ht="16" thickBot="1" x14ac:dyDescent="0.25">
      <c r="A3" s="20"/>
      <c r="B3" s="21"/>
      <c r="C3" s="22"/>
      <c r="D3" s="133" t="s">
        <v>1</v>
      </c>
      <c r="E3" s="134"/>
      <c r="F3" s="134"/>
      <c r="G3" s="134"/>
      <c r="H3" s="135"/>
      <c r="I3" s="136" t="s">
        <v>2</v>
      </c>
      <c r="J3" s="137"/>
      <c r="K3" s="137"/>
      <c r="L3" s="137"/>
      <c r="M3" s="137"/>
      <c r="N3" s="137"/>
      <c r="O3" s="137"/>
      <c r="P3" s="137"/>
      <c r="Q3" s="137"/>
      <c r="R3" s="137"/>
      <c r="S3" s="137"/>
      <c r="T3" s="137"/>
      <c r="U3" s="137"/>
      <c r="V3" s="137"/>
      <c r="W3" s="137"/>
      <c r="X3" s="137"/>
      <c r="Y3" s="138"/>
      <c r="Z3" s="133" t="s">
        <v>3</v>
      </c>
      <c r="AA3" s="135"/>
      <c r="AB3" s="26" t="s">
        <v>4</v>
      </c>
      <c r="AC3" s="112" t="s">
        <v>5</v>
      </c>
      <c r="AD3" s="96"/>
      <c r="AE3" s="96"/>
      <c r="AF3" s="96"/>
      <c r="AG3" s="96"/>
      <c r="AH3" s="96"/>
      <c r="AI3" s="96"/>
      <c r="AJ3" s="97"/>
      <c r="AK3" s="26" t="s">
        <v>6</v>
      </c>
      <c r="AL3" s="133" t="s">
        <v>7</v>
      </c>
      <c r="AM3" s="134"/>
      <c r="AN3" s="134"/>
      <c r="AO3" s="134"/>
      <c r="AP3" s="134"/>
      <c r="AQ3" s="134"/>
      <c r="AR3" s="134"/>
      <c r="AS3" s="134"/>
      <c r="AT3" s="134"/>
      <c r="AU3" s="134"/>
      <c r="AV3" s="135"/>
      <c r="AW3" s="133" t="s">
        <v>8</v>
      </c>
      <c r="AX3" s="134"/>
      <c r="AY3" s="134"/>
      <c r="AZ3" s="134"/>
      <c r="BA3" s="134"/>
      <c r="BB3" s="134"/>
      <c r="BC3" s="134"/>
      <c r="BD3" s="135"/>
      <c r="BE3" s="136" t="s">
        <v>9</v>
      </c>
      <c r="BF3" s="137"/>
      <c r="BG3" s="137"/>
      <c r="BH3" s="137"/>
      <c r="BI3" s="137"/>
      <c r="BJ3" s="137"/>
      <c r="BK3" s="137"/>
      <c r="BL3" s="137"/>
      <c r="BM3" s="137"/>
      <c r="BN3" s="137"/>
      <c r="BO3" s="137"/>
      <c r="BP3" s="137"/>
      <c r="BQ3" s="137"/>
      <c r="BR3" s="137"/>
      <c r="BS3" s="139" t="s">
        <v>10</v>
      </c>
      <c r="BT3" s="140"/>
      <c r="BU3" s="140"/>
      <c r="BV3" s="140"/>
      <c r="BW3" s="141"/>
      <c r="BX3" s="34"/>
      <c r="BY3" s="34"/>
      <c r="BZ3" s="34"/>
      <c r="CA3" s="34"/>
      <c r="CB3" s="34"/>
      <c r="CC3" s="34"/>
      <c r="CD3"/>
      <c r="CE3"/>
      <c r="CF3"/>
      <c r="CG3"/>
      <c r="CH3"/>
      <c r="CI3"/>
      <c r="CJ3"/>
      <c r="CK3"/>
    </row>
    <row r="4" spans="1:91" ht="16" thickBot="1" x14ac:dyDescent="0.25">
      <c r="A4" s="23"/>
      <c r="B4" s="24"/>
      <c r="C4" s="25"/>
      <c r="D4" s="23"/>
      <c r="E4" s="24"/>
      <c r="F4" s="24"/>
      <c r="G4" s="24"/>
      <c r="H4" s="25"/>
      <c r="I4" s="88" t="s">
        <v>11</v>
      </c>
      <c r="J4" s="89"/>
      <c r="K4" s="89"/>
      <c r="L4" s="89"/>
      <c r="M4" s="90"/>
      <c r="N4" s="136" t="s">
        <v>88</v>
      </c>
      <c r="O4" s="137"/>
      <c r="P4" s="138"/>
      <c r="Q4" s="136" t="s">
        <v>13</v>
      </c>
      <c r="R4" s="137"/>
      <c r="S4" s="138"/>
      <c r="T4" s="136" t="s">
        <v>14</v>
      </c>
      <c r="U4" s="137"/>
      <c r="V4" s="137"/>
      <c r="W4" s="137"/>
      <c r="X4" s="137"/>
      <c r="Y4" s="138"/>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24"/>
      <c r="AZ4" s="24"/>
      <c r="BA4" s="62"/>
      <c r="BB4" s="24"/>
      <c r="BC4" s="24"/>
      <c r="BD4" s="25"/>
      <c r="BE4" s="136" t="s">
        <v>15</v>
      </c>
      <c r="BF4" s="137"/>
      <c r="BG4" s="137"/>
      <c r="BH4" s="137"/>
      <c r="BI4" s="137"/>
      <c r="BJ4" s="137"/>
      <c r="BK4" s="138"/>
      <c r="BL4" s="136" t="s">
        <v>16</v>
      </c>
      <c r="BM4" s="137"/>
      <c r="BN4" s="137"/>
      <c r="BO4" s="137"/>
      <c r="BP4" s="137"/>
      <c r="BQ4" s="137"/>
      <c r="BR4" s="138"/>
      <c r="BS4" s="125"/>
      <c r="BT4" s="99"/>
      <c r="BU4" s="99"/>
      <c r="BV4" s="99"/>
      <c r="BW4" s="100"/>
      <c r="BX4" s="80"/>
      <c r="BY4" s="80"/>
      <c r="BZ4" s="34"/>
      <c r="CA4" s="34"/>
      <c r="CB4" s="34"/>
      <c r="CC4" s="34"/>
      <c r="CD4" s="34"/>
      <c r="CE4" s="34"/>
      <c r="CF4"/>
      <c r="CG4"/>
      <c r="CH4"/>
      <c r="CI4"/>
      <c r="CJ4"/>
      <c r="CK4"/>
    </row>
    <row r="5" spans="1:91" ht="6.75" hidden="1" customHeight="1" thickBot="1" x14ac:dyDescent="0.25">
      <c r="AR5" s="63"/>
      <c r="AS5" s="1"/>
      <c r="AT5" s="1"/>
      <c r="AU5" s="1"/>
      <c r="AV5" s="1"/>
      <c r="BA5" s="1"/>
      <c r="BB5" s="1"/>
      <c r="BC5" s="1"/>
      <c r="BD5" s="1"/>
      <c r="BE5" s="1"/>
      <c r="BF5" s="1"/>
      <c r="BG5" s="1"/>
      <c r="BH5" s="1"/>
      <c r="BI5" s="1"/>
      <c r="BJ5" s="1"/>
      <c r="BK5" s="1"/>
      <c r="BL5" s="1"/>
      <c r="BM5" s="1"/>
      <c r="BN5" s="1"/>
      <c r="BO5" s="1"/>
      <c r="BP5" s="1"/>
      <c r="BQ5" s="1"/>
      <c r="BR5" s="1"/>
      <c r="BS5" s="1"/>
      <c r="BT5" s="1"/>
      <c r="BU5" s="1"/>
      <c r="BV5" s="1"/>
      <c r="BW5" s="1"/>
      <c r="CL5" s="1"/>
      <c r="CM5" s="1"/>
    </row>
    <row r="6" spans="1:91" s="2" customFormat="1" ht="218" thickBot="1" x14ac:dyDescent="0.25">
      <c r="A6" s="6" t="s">
        <v>17</v>
      </c>
      <c r="B6" s="7" t="s">
        <v>18</v>
      </c>
      <c r="C6" s="8" t="s">
        <v>19</v>
      </c>
      <c r="D6" s="3" t="s">
        <v>20</v>
      </c>
      <c r="E6" s="4" t="s">
        <v>21</v>
      </c>
      <c r="F6" s="4" t="s">
        <v>22</v>
      </c>
      <c r="G6" s="4" t="s">
        <v>23</v>
      </c>
      <c r="H6" s="4"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94" t="s">
        <v>112</v>
      </c>
      <c r="AH6" s="94" t="s">
        <v>113</v>
      </c>
      <c r="AI6" s="94" t="s">
        <v>114</v>
      </c>
      <c r="AJ6" s="101" t="s">
        <v>115</v>
      </c>
      <c r="AK6" s="14" t="s">
        <v>41</v>
      </c>
      <c r="AL6" s="9" t="s">
        <v>42</v>
      </c>
      <c r="AM6" s="94" t="s">
        <v>122</v>
      </c>
      <c r="AN6" s="10" t="s">
        <v>43</v>
      </c>
      <c r="AO6" s="94" t="s">
        <v>123</v>
      </c>
      <c r="AP6" s="10" t="s">
        <v>45</v>
      </c>
      <c r="AQ6" s="94" t="s">
        <v>124</v>
      </c>
      <c r="AR6" s="10" t="s">
        <v>44</v>
      </c>
      <c r="AS6" s="94" t="s">
        <v>125</v>
      </c>
      <c r="AT6" s="10" t="s">
        <v>116</v>
      </c>
      <c r="AU6" s="10" t="s">
        <v>117</v>
      </c>
      <c r="AV6" s="94" t="s">
        <v>118</v>
      </c>
      <c r="AW6" s="9" t="s">
        <v>46</v>
      </c>
      <c r="AX6" s="10" t="s">
        <v>47</v>
      </c>
      <c r="AY6" s="10" t="s">
        <v>48</v>
      </c>
      <c r="AZ6" s="10" t="s">
        <v>49</v>
      </c>
      <c r="BA6" s="98" t="s">
        <v>50</v>
      </c>
      <c r="BB6" s="10" t="s">
        <v>51</v>
      </c>
      <c r="BC6" s="10" t="s">
        <v>52</v>
      </c>
      <c r="BD6" s="10"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0" t="s">
        <v>66</v>
      </c>
      <c r="BS6" s="9" t="s">
        <v>70</v>
      </c>
      <c r="BT6" s="10" t="s">
        <v>67</v>
      </c>
      <c r="BU6" s="10" t="s">
        <v>68</v>
      </c>
      <c r="BV6" s="10" t="s">
        <v>69</v>
      </c>
      <c r="BW6" s="11" t="s">
        <v>71</v>
      </c>
    </row>
    <row r="7" spans="1:91" ht="16" x14ac:dyDescent="0.2">
      <c r="A7" t="s">
        <v>134</v>
      </c>
      <c r="B7" t="s">
        <v>234</v>
      </c>
      <c r="C7" t="s">
        <v>235</v>
      </c>
      <c r="D7" s="1" t="s">
        <v>73</v>
      </c>
      <c r="E7" s="1" t="s">
        <v>72</v>
      </c>
      <c r="F7" s="1" t="s">
        <v>73</v>
      </c>
      <c r="G7" s="1" t="s">
        <v>73</v>
      </c>
      <c r="I7" s="1">
        <v>16</v>
      </c>
      <c r="J7"/>
      <c r="K7"/>
      <c r="L7"/>
      <c r="M7"/>
      <c r="Q7" s="1" t="s">
        <v>73</v>
      </c>
      <c r="R7" s="1" t="s">
        <v>73</v>
      </c>
      <c r="S7" s="1" t="s">
        <v>73</v>
      </c>
      <c r="T7"/>
      <c r="U7"/>
      <c r="V7"/>
      <c r="W7"/>
      <c r="X7"/>
      <c r="Y7"/>
      <c r="Z7" s="1" t="s">
        <v>73</v>
      </c>
      <c r="AA7" s="1" t="s">
        <v>73</v>
      </c>
      <c r="AB7"/>
      <c r="AC7" s="1">
        <v>5</v>
      </c>
      <c r="AD7"/>
      <c r="AE7"/>
      <c r="AF7"/>
      <c r="AG7">
        <v>5</v>
      </c>
      <c r="AH7"/>
      <c r="AI7"/>
      <c r="AJ7"/>
      <c r="AK7" s="1" t="s">
        <v>73</v>
      </c>
      <c r="AL7" s="1" t="s">
        <v>72</v>
      </c>
      <c r="AM7">
        <v>5</v>
      </c>
      <c r="AN7" s="1" t="s">
        <v>72</v>
      </c>
      <c r="AO7">
        <v>5</v>
      </c>
      <c r="AP7" s="1" t="s">
        <v>73</v>
      </c>
      <c r="AQ7"/>
      <c r="AR7" s="1" t="s">
        <v>72</v>
      </c>
      <c r="AS7">
        <v>5</v>
      </c>
      <c r="AT7" t="s">
        <v>73</v>
      </c>
      <c r="AW7" s="1">
        <v>100</v>
      </c>
      <c r="AX7" s="1">
        <v>8</v>
      </c>
      <c r="AY7" s="1" t="s">
        <v>72</v>
      </c>
      <c r="AZ7" s="1" t="s">
        <v>72</v>
      </c>
      <c r="BA7" s="61" t="s">
        <v>73</v>
      </c>
      <c r="BB7">
        <v>1876</v>
      </c>
      <c r="BC7" s="87">
        <v>45646.477731481478</v>
      </c>
      <c r="BD7" s="87">
        <v>45646.436064814814</v>
      </c>
      <c r="BE7" t="s">
        <v>73</v>
      </c>
      <c r="BF7" t="s">
        <v>73</v>
      </c>
      <c r="BG7" t="s">
        <v>73</v>
      </c>
      <c r="BH7" t="s">
        <v>73</v>
      </c>
      <c r="BI7" t="s">
        <v>73</v>
      </c>
      <c r="BJ7" t="s">
        <v>73</v>
      </c>
      <c r="BL7" t="s">
        <v>73</v>
      </c>
      <c r="BM7" t="s">
        <v>73</v>
      </c>
      <c r="BN7" t="s">
        <v>73</v>
      </c>
      <c r="BO7" t="s">
        <v>73</v>
      </c>
      <c r="BP7" t="s">
        <v>73</v>
      </c>
      <c r="BQ7" s="1" t="s">
        <v>73</v>
      </c>
      <c r="BS7" s="1" t="s">
        <v>73</v>
      </c>
      <c r="BT7" s="1" t="s">
        <v>73</v>
      </c>
      <c r="BU7" s="1" t="s">
        <v>73</v>
      </c>
      <c r="BV7" s="1" t="s">
        <v>73</v>
      </c>
      <c r="BX7"/>
      <c r="BY7"/>
      <c r="BZ7"/>
      <c r="CA7"/>
      <c r="CB7"/>
      <c r="CC7"/>
      <c r="CD7"/>
      <c r="CE7"/>
      <c r="CF7"/>
      <c r="CG7"/>
      <c r="CH7"/>
      <c r="CI7"/>
      <c r="CJ7"/>
      <c r="CK7"/>
    </row>
    <row r="8" spans="1:91" ht="16" x14ac:dyDescent="0.2">
      <c r="A8" t="s">
        <v>134</v>
      </c>
      <c r="B8" t="s">
        <v>224</v>
      </c>
      <c r="C8" t="s">
        <v>225</v>
      </c>
      <c r="D8" s="1" t="s">
        <v>73</v>
      </c>
      <c r="E8" s="1" t="s">
        <v>72</v>
      </c>
      <c r="F8" s="1" t="s">
        <v>73</v>
      </c>
      <c r="G8" s="1" t="s">
        <v>73</v>
      </c>
      <c r="J8"/>
      <c r="K8"/>
      <c r="L8"/>
      <c r="M8"/>
      <c r="Q8" s="1" t="s">
        <v>73</v>
      </c>
      <c r="R8" s="1" t="s">
        <v>73</v>
      </c>
      <c r="S8" s="1" t="s">
        <v>73</v>
      </c>
      <c r="T8"/>
      <c r="U8"/>
      <c r="V8"/>
      <c r="W8"/>
      <c r="X8"/>
      <c r="Y8"/>
      <c r="Z8" s="1" t="s">
        <v>73</v>
      </c>
      <c r="AA8" s="1" t="s">
        <v>73</v>
      </c>
      <c r="AB8"/>
      <c r="AD8"/>
      <c r="AE8"/>
      <c r="AF8"/>
      <c r="AG8"/>
      <c r="AH8"/>
      <c r="AI8"/>
      <c r="AJ8"/>
      <c r="AK8" s="1" t="s">
        <v>73</v>
      </c>
      <c r="AL8" s="1" t="s">
        <v>73</v>
      </c>
      <c r="AM8"/>
      <c r="AN8" s="1" t="s">
        <v>73</v>
      </c>
      <c r="AO8"/>
      <c r="AP8" s="1" t="s">
        <v>73</v>
      </c>
      <c r="AQ8"/>
      <c r="AR8" s="1" t="s">
        <v>73</v>
      </c>
      <c r="AT8" t="s">
        <v>73</v>
      </c>
      <c r="AW8" s="1">
        <v>50</v>
      </c>
      <c r="AX8" s="1">
        <v>6</v>
      </c>
      <c r="AY8" s="1" t="s">
        <v>73</v>
      </c>
      <c r="AZ8" s="1" t="s">
        <v>72</v>
      </c>
      <c r="BA8" s="61" t="s">
        <v>73</v>
      </c>
      <c r="BB8">
        <v>1863</v>
      </c>
      <c r="BC8" s="87">
        <v>45644.607523148145</v>
      </c>
      <c r="BD8" s="87">
        <v>45644.56585648148</v>
      </c>
      <c r="BE8" t="s">
        <v>73</v>
      </c>
      <c r="BF8" t="s">
        <v>73</v>
      </c>
      <c r="BG8" t="s">
        <v>73</v>
      </c>
      <c r="BH8" t="s">
        <v>73</v>
      </c>
      <c r="BI8" t="s">
        <v>73</v>
      </c>
      <c r="BJ8" t="s">
        <v>73</v>
      </c>
      <c r="BL8" t="s">
        <v>73</v>
      </c>
      <c r="BM8" t="s">
        <v>73</v>
      </c>
      <c r="BN8" t="s">
        <v>73</v>
      </c>
      <c r="BO8" t="s">
        <v>73</v>
      </c>
      <c r="BP8" t="s">
        <v>73</v>
      </c>
      <c r="BQ8" s="1" t="s">
        <v>73</v>
      </c>
      <c r="BS8" s="1" t="s">
        <v>73</v>
      </c>
      <c r="BT8" s="1" t="s">
        <v>73</v>
      </c>
      <c r="BU8" s="1" t="s">
        <v>73</v>
      </c>
      <c r="BV8" s="1" t="s">
        <v>73</v>
      </c>
      <c r="BX8"/>
      <c r="BY8"/>
      <c r="BZ8"/>
      <c r="CA8"/>
      <c r="CB8"/>
      <c r="CC8"/>
      <c r="CD8"/>
      <c r="CE8"/>
      <c r="CF8"/>
      <c r="CG8"/>
      <c r="CH8"/>
      <c r="CI8"/>
      <c r="CJ8"/>
      <c r="CK8"/>
    </row>
    <row r="9" spans="1:91" ht="16" x14ac:dyDescent="0.2">
      <c r="A9" t="s">
        <v>134</v>
      </c>
      <c r="B9" t="s">
        <v>205</v>
      </c>
      <c r="C9" t="s">
        <v>206</v>
      </c>
      <c r="D9" s="1" t="s">
        <v>73</v>
      </c>
      <c r="E9" s="1" t="s">
        <v>72</v>
      </c>
      <c r="F9" s="1" t="s">
        <v>73</v>
      </c>
      <c r="G9" s="1" t="s">
        <v>73</v>
      </c>
      <c r="I9" s="1">
        <v>6</v>
      </c>
      <c r="J9">
        <v>6</v>
      </c>
      <c r="K9"/>
      <c r="L9">
        <v>4</v>
      </c>
      <c r="M9"/>
      <c r="Q9" s="1" t="s">
        <v>73</v>
      </c>
      <c r="R9" s="1" t="s">
        <v>73</v>
      </c>
      <c r="S9" s="1" t="s">
        <v>73</v>
      </c>
      <c r="T9"/>
      <c r="U9"/>
      <c r="V9"/>
      <c r="W9"/>
      <c r="X9"/>
      <c r="Y9"/>
      <c r="Z9" s="1" t="s">
        <v>73</v>
      </c>
      <c r="AA9" s="1" t="s">
        <v>73</v>
      </c>
      <c r="AB9"/>
      <c r="AD9"/>
      <c r="AE9"/>
      <c r="AF9"/>
      <c r="AG9"/>
      <c r="AH9"/>
      <c r="AI9"/>
      <c r="AJ9"/>
      <c r="AK9" s="1" t="s">
        <v>73</v>
      </c>
      <c r="AL9" s="1" t="s">
        <v>72</v>
      </c>
      <c r="AM9">
        <v>6</v>
      </c>
      <c r="AN9" s="1" t="s">
        <v>72</v>
      </c>
      <c r="AO9">
        <v>6</v>
      </c>
      <c r="AP9" s="1" t="s">
        <v>73</v>
      </c>
      <c r="AQ9"/>
      <c r="AR9" s="1" t="s">
        <v>72</v>
      </c>
      <c r="AS9">
        <v>6</v>
      </c>
      <c r="AT9" t="s">
        <v>72</v>
      </c>
      <c r="AU9">
        <v>2</v>
      </c>
      <c r="AW9" s="1">
        <v>100</v>
      </c>
      <c r="AX9" s="1">
        <v>8</v>
      </c>
      <c r="AY9" s="1" t="s">
        <v>72</v>
      </c>
      <c r="AZ9" s="1" t="s">
        <v>72</v>
      </c>
      <c r="BA9" s="61" t="s">
        <v>73</v>
      </c>
      <c r="BB9">
        <v>1860</v>
      </c>
      <c r="BC9" s="87">
        <v>45644.473587962966</v>
      </c>
      <c r="BD9" s="87">
        <v>45644.431921296295</v>
      </c>
      <c r="BE9" t="s">
        <v>73</v>
      </c>
      <c r="BF9" t="s">
        <v>73</v>
      </c>
      <c r="BG9" t="s">
        <v>73</v>
      </c>
      <c r="BH9" t="s">
        <v>73</v>
      </c>
      <c r="BI9" t="s">
        <v>73</v>
      </c>
      <c r="BJ9" t="s">
        <v>73</v>
      </c>
      <c r="BL9" t="s">
        <v>73</v>
      </c>
      <c r="BM9" t="s">
        <v>73</v>
      </c>
      <c r="BN9" t="s">
        <v>73</v>
      </c>
      <c r="BO9" t="s">
        <v>73</v>
      </c>
      <c r="BP9" t="s">
        <v>73</v>
      </c>
      <c r="BQ9" s="1" t="s">
        <v>73</v>
      </c>
      <c r="BS9" s="1" t="s">
        <v>73</v>
      </c>
      <c r="BT9" s="1" t="s">
        <v>73</v>
      </c>
      <c r="BU9" s="1" t="s">
        <v>73</v>
      </c>
      <c r="BV9" s="1" t="s">
        <v>73</v>
      </c>
      <c r="BX9"/>
      <c r="BY9"/>
      <c r="BZ9"/>
      <c r="CA9"/>
      <c r="CB9"/>
      <c r="CC9"/>
      <c r="CD9"/>
      <c r="CE9"/>
      <c r="CF9"/>
      <c r="CG9"/>
      <c r="CH9"/>
      <c r="CI9"/>
      <c r="CJ9"/>
      <c r="CK9"/>
    </row>
    <row r="10" spans="1:91" ht="16" x14ac:dyDescent="0.2">
      <c r="A10" t="s">
        <v>134</v>
      </c>
      <c r="B10" t="s">
        <v>207</v>
      </c>
      <c r="C10" t="s">
        <v>236</v>
      </c>
      <c r="D10" s="1" t="s">
        <v>73</v>
      </c>
      <c r="E10" s="1" t="s">
        <v>72</v>
      </c>
      <c r="F10" s="1" t="s">
        <v>72</v>
      </c>
      <c r="G10" s="1" t="s">
        <v>73</v>
      </c>
      <c r="I10" s="1">
        <v>7</v>
      </c>
      <c r="J10"/>
      <c r="K10"/>
      <c r="L10"/>
      <c r="M10"/>
      <c r="Q10" s="1" t="s">
        <v>73</v>
      </c>
      <c r="R10" s="1" t="s">
        <v>73</v>
      </c>
      <c r="S10" s="1" t="s">
        <v>73</v>
      </c>
      <c r="T10"/>
      <c r="U10"/>
      <c r="V10"/>
      <c r="W10"/>
      <c r="X10"/>
      <c r="Y10"/>
      <c r="Z10" s="1" t="s">
        <v>73</v>
      </c>
      <c r="AA10" s="1" t="s">
        <v>73</v>
      </c>
      <c r="AB10"/>
      <c r="AD10"/>
      <c r="AE10"/>
      <c r="AF10"/>
      <c r="AG10"/>
      <c r="AH10"/>
      <c r="AI10"/>
      <c r="AJ10"/>
      <c r="AK10" s="1" t="s">
        <v>72</v>
      </c>
      <c r="AL10" s="1" t="s">
        <v>72</v>
      </c>
      <c r="AM10">
        <v>6</v>
      </c>
      <c r="AN10" s="1" t="s">
        <v>72</v>
      </c>
      <c r="AO10">
        <v>6</v>
      </c>
      <c r="AP10" s="1" t="s">
        <v>73</v>
      </c>
      <c r="AQ10"/>
      <c r="AR10" s="1" t="s">
        <v>72</v>
      </c>
      <c r="AS10">
        <v>6</v>
      </c>
      <c r="AT10" t="s">
        <v>73</v>
      </c>
      <c r="AW10" s="1">
        <v>57</v>
      </c>
      <c r="AX10" s="1">
        <v>2</v>
      </c>
      <c r="AY10" s="1" t="s">
        <v>73</v>
      </c>
      <c r="AZ10" s="1" t="s">
        <v>73</v>
      </c>
      <c r="BA10" s="61" t="s">
        <v>73</v>
      </c>
      <c r="BB10">
        <v>1856</v>
      </c>
      <c r="BC10" s="87">
        <v>45643.504120370373</v>
      </c>
      <c r="BD10" s="87">
        <v>45646.44630787037</v>
      </c>
      <c r="BE10" t="s">
        <v>73</v>
      </c>
      <c r="BF10" t="s">
        <v>73</v>
      </c>
      <c r="BG10" t="s">
        <v>73</v>
      </c>
      <c r="BH10" t="s">
        <v>73</v>
      </c>
      <c r="BI10" t="s">
        <v>73</v>
      </c>
      <c r="BJ10" t="s">
        <v>73</v>
      </c>
      <c r="BL10" t="s">
        <v>73</v>
      </c>
      <c r="BM10" t="s">
        <v>73</v>
      </c>
      <c r="BN10" t="s">
        <v>73</v>
      </c>
      <c r="BO10" t="s">
        <v>73</v>
      </c>
      <c r="BP10" t="s">
        <v>73</v>
      </c>
      <c r="BQ10" s="1" t="s">
        <v>73</v>
      </c>
      <c r="BS10" s="1" t="s">
        <v>73</v>
      </c>
      <c r="BT10" s="1" t="s">
        <v>73</v>
      </c>
      <c r="BU10" s="1" t="s">
        <v>73</v>
      </c>
      <c r="BV10" s="1" t="s">
        <v>73</v>
      </c>
      <c r="BX10"/>
      <c r="BY10"/>
      <c r="BZ10"/>
      <c r="CA10"/>
      <c r="CB10"/>
      <c r="CC10"/>
      <c r="CD10"/>
      <c r="CE10"/>
      <c r="CF10"/>
      <c r="CG10"/>
      <c r="CH10"/>
      <c r="CI10"/>
      <c r="CJ10"/>
      <c r="CK10"/>
    </row>
    <row r="11" spans="1:91" ht="16" x14ac:dyDescent="0.2">
      <c r="A11" t="s">
        <v>134</v>
      </c>
      <c r="B11" t="s">
        <v>208</v>
      </c>
      <c r="C11" t="s">
        <v>209</v>
      </c>
      <c r="D11" s="1" t="s">
        <v>73</v>
      </c>
      <c r="E11" s="1" t="s">
        <v>72</v>
      </c>
      <c r="F11" s="1" t="s">
        <v>72</v>
      </c>
      <c r="G11" s="1" t="s">
        <v>73</v>
      </c>
      <c r="I11" s="1">
        <v>8</v>
      </c>
      <c r="J11">
        <v>10</v>
      </c>
      <c r="K11"/>
      <c r="L11">
        <v>4</v>
      </c>
      <c r="M11">
        <v>4</v>
      </c>
      <c r="Q11" s="1" t="s">
        <v>73</v>
      </c>
      <c r="R11" s="1" t="s">
        <v>73</v>
      </c>
      <c r="S11" s="1" t="s">
        <v>73</v>
      </c>
      <c r="T11"/>
      <c r="U11"/>
      <c r="V11"/>
      <c r="W11"/>
      <c r="X11"/>
      <c r="Y11"/>
      <c r="Z11" s="1" t="s">
        <v>73</v>
      </c>
      <c r="AA11" s="1" t="s">
        <v>73</v>
      </c>
      <c r="AB11"/>
      <c r="AD11"/>
      <c r="AE11"/>
      <c r="AF11"/>
      <c r="AG11"/>
      <c r="AH11"/>
      <c r="AI11"/>
      <c r="AJ11"/>
      <c r="AK11" s="1" t="s">
        <v>73</v>
      </c>
      <c r="AL11" s="1" t="s">
        <v>72</v>
      </c>
      <c r="AM11">
        <v>6</v>
      </c>
      <c r="AN11" s="1" t="s">
        <v>72</v>
      </c>
      <c r="AO11">
        <v>6</v>
      </c>
      <c r="AP11" s="1" t="s">
        <v>73</v>
      </c>
      <c r="AQ11"/>
      <c r="AR11" s="1" t="s">
        <v>72</v>
      </c>
      <c r="AS11">
        <v>6</v>
      </c>
      <c r="AT11" t="s">
        <v>73</v>
      </c>
      <c r="AW11" s="1">
        <v>60</v>
      </c>
      <c r="AX11" s="1">
        <v>18</v>
      </c>
      <c r="AY11" s="1" t="s">
        <v>73</v>
      </c>
      <c r="AZ11" s="1" t="s">
        <v>73</v>
      </c>
      <c r="BA11" s="61" t="s">
        <v>73</v>
      </c>
      <c r="BB11">
        <v>1850</v>
      </c>
      <c r="BC11" s="87">
        <v>45642.834224537037</v>
      </c>
      <c r="BD11" s="87">
        <v>45642.792557870373</v>
      </c>
      <c r="BE11" t="s">
        <v>73</v>
      </c>
      <c r="BF11" t="s">
        <v>73</v>
      </c>
      <c r="BG11" t="s">
        <v>73</v>
      </c>
      <c r="BH11" t="s">
        <v>73</v>
      </c>
      <c r="BI11" t="s">
        <v>73</v>
      </c>
      <c r="BJ11" t="s">
        <v>73</v>
      </c>
      <c r="BL11" t="s">
        <v>73</v>
      </c>
      <c r="BM11" t="s">
        <v>73</v>
      </c>
      <c r="BN11" t="s">
        <v>73</v>
      </c>
      <c r="BO11" t="s">
        <v>73</v>
      </c>
      <c r="BP11" t="s">
        <v>73</v>
      </c>
      <c r="BQ11" s="1" t="s">
        <v>73</v>
      </c>
      <c r="BS11" s="1" t="s">
        <v>73</v>
      </c>
      <c r="BT11" s="1" t="s">
        <v>73</v>
      </c>
      <c r="BU11" s="1" t="s">
        <v>73</v>
      </c>
      <c r="BV11" s="1" t="s">
        <v>73</v>
      </c>
      <c r="BX11"/>
      <c r="BY11"/>
      <c r="BZ11"/>
      <c r="CA11"/>
      <c r="CB11"/>
      <c r="CC11"/>
      <c r="CD11"/>
      <c r="CE11"/>
      <c r="CF11"/>
      <c r="CG11"/>
      <c r="CH11"/>
      <c r="CI11"/>
      <c r="CJ11"/>
      <c r="CK11"/>
    </row>
    <row r="12" spans="1:91" ht="16" x14ac:dyDescent="0.2">
      <c r="A12" t="s">
        <v>134</v>
      </c>
      <c r="B12" t="s">
        <v>210</v>
      </c>
      <c r="C12" t="s">
        <v>211</v>
      </c>
      <c r="D12" s="1" t="s">
        <v>73</v>
      </c>
      <c r="E12" s="1" t="s">
        <v>72</v>
      </c>
      <c r="F12" s="1" t="s">
        <v>72</v>
      </c>
      <c r="G12" s="1" t="s">
        <v>73</v>
      </c>
      <c r="I12" s="1">
        <v>5</v>
      </c>
      <c r="J12">
        <v>3</v>
      </c>
      <c r="K12"/>
      <c r="L12"/>
      <c r="M12"/>
      <c r="N12" s="1">
        <v>4</v>
      </c>
      <c r="Q12" s="1" t="s">
        <v>73</v>
      </c>
      <c r="R12" s="1" t="s">
        <v>73</v>
      </c>
      <c r="S12" s="1" t="s">
        <v>73</v>
      </c>
      <c r="T12">
        <v>3</v>
      </c>
      <c r="U12">
        <v>1</v>
      </c>
      <c r="V12"/>
      <c r="W12">
        <v>3</v>
      </c>
      <c r="X12">
        <v>1</v>
      </c>
      <c r="Y12"/>
      <c r="Z12" s="1" t="s">
        <v>73</v>
      </c>
      <c r="AA12" s="1" t="s">
        <v>73</v>
      </c>
      <c r="AB12"/>
      <c r="AD12"/>
      <c r="AE12"/>
      <c r="AF12"/>
      <c r="AG12"/>
      <c r="AH12"/>
      <c r="AI12"/>
      <c r="AJ12"/>
      <c r="AK12" s="1" t="s">
        <v>72</v>
      </c>
      <c r="AL12" s="1" t="s">
        <v>73</v>
      </c>
      <c r="AM12"/>
      <c r="AN12" s="1" t="s">
        <v>73</v>
      </c>
      <c r="AO12"/>
      <c r="AP12" s="1" t="s">
        <v>73</v>
      </c>
      <c r="AQ12"/>
      <c r="AR12" s="1" t="s">
        <v>73</v>
      </c>
      <c r="AT12" t="s">
        <v>73</v>
      </c>
      <c r="AW12" s="1">
        <v>32</v>
      </c>
      <c r="AX12" s="1">
        <v>7</v>
      </c>
      <c r="AY12" s="1" t="s">
        <v>73</v>
      </c>
      <c r="AZ12" s="1" t="s">
        <v>73</v>
      </c>
      <c r="BA12" s="61" t="s">
        <v>73</v>
      </c>
      <c r="BB12">
        <v>1846</v>
      </c>
      <c r="BC12" s="87">
        <v>45642.806666666664</v>
      </c>
      <c r="BD12" s="87">
        <v>45642.764999999999</v>
      </c>
      <c r="BE12" t="s">
        <v>73</v>
      </c>
      <c r="BF12" t="s">
        <v>73</v>
      </c>
      <c r="BG12" t="s">
        <v>73</v>
      </c>
      <c r="BH12" t="s">
        <v>73</v>
      </c>
      <c r="BI12" t="s">
        <v>73</v>
      </c>
      <c r="BJ12" t="s">
        <v>73</v>
      </c>
      <c r="BL12" t="s">
        <v>73</v>
      </c>
      <c r="BM12" t="s">
        <v>73</v>
      </c>
      <c r="BN12" t="s">
        <v>73</v>
      </c>
      <c r="BO12" t="s">
        <v>73</v>
      </c>
      <c r="BP12" t="s">
        <v>73</v>
      </c>
      <c r="BQ12" s="1" t="s">
        <v>73</v>
      </c>
      <c r="BS12" s="1" t="s">
        <v>73</v>
      </c>
      <c r="BT12" s="1" t="s">
        <v>73</v>
      </c>
      <c r="BU12" s="1" t="s">
        <v>73</v>
      </c>
      <c r="BV12" s="1" t="s">
        <v>73</v>
      </c>
      <c r="BX12"/>
      <c r="BY12"/>
      <c r="BZ12"/>
      <c r="CA12"/>
      <c r="CB12"/>
      <c r="CC12"/>
      <c r="CD12"/>
      <c r="CE12"/>
      <c r="CF12"/>
      <c r="CG12"/>
      <c r="CH12"/>
      <c r="CI12"/>
      <c r="CJ12"/>
      <c r="CK12"/>
    </row>
    <row r="13" spans="1:91" ht="16" x14ac:dyDescent="0.2">
      <c r="A13" t="s">
        <v>134</v>
      </c>
      <c r="B13" t="s">
        <v>203</v>
      </c>
      <c r="C13" t="s">
        <v>204</v>
      </c>
      <c r="D13" s="1" t="s">
        <v>73</v>
      </c>
      <c r="E13" s="1" t="s">
        <v>73</v>
      </c>
      <c r="F13" s="1" t="s">
        <v>73</v>
      </c>
      <c r="G13" s="1" t="s">
        <v>73</v>
      </c>
      <c r="J13"/>
      <c r="K13"/>
      <c r="L13"/>
      <c r="M13"/>
      <c r="Q13" s="1" t="s">
        <v>73</v>
      </c>
      <c r="R13" s="1" t="s">
        <v>73</v>
      </c>
      <c r="S13" s="1" t="s">
        <v>73</v>
      </c>
      <c r="T13"/>
      <c r="U13"/>
      <c r="V13"/>
      <c r="W13"/>
      <c r="X13"/>
      <c r="Y13"/>
      <c r="Z13" s="1" t="s">
        <v>73</v>
      </c>
      <c r="AA13" s="1" t="s">
        <v>73</v>
      </c>
      <c r="AB13"/>
      <c r="AD13"/>
      <c r="AE13"/>
      <c r="AF13"/>
      <c r="AG13"/>
      <c r="AH13"/>
      <c r="AI13"/>
      <c r="AJ13"/>
      <c r="AK13" s="1" t="s">
        <v>73</v>
      </c>
      <c r="AL13" s="1" t="s">
        <v>73</v>
      </c>
      <c r="AM13"/>
      <c r="AN13" s="1" t="s">
        <v>73</v>
      </c>
      <c r="AO13"/>
      <c r="AP13" s="1" t="s">
        <v>73</v>
      </c>
      <c r="AQ13"/>
      <c r="AR13" s="1" t="s">
        <v>73</v>
      </c>
      <c r="AT13" t="s">
        <v>73</v>
      </c>
      <c r="AW13" s="1">
        <v>30</v>
      </c>
      <c r="AX13" s="1">
        <v>2</v>
      </c>
      <c r="AY13" s="1" t="s">
        <v>72</v>
      </c>
      <c r="AZ13" s="1" t="s">
        <v>73</v>
      </c>
      <c r="BA13" s="61" t="s">
        <v>73</v>
      </c>
      <c r="BB13">
        <v>1843</v>
      </c>
      <c r="BC13" s="87">
        <v>45642.664270833331</v>
      </c>
      <c r="BD13" s="87">
        <v>45642.632361111115</v>
      </c>
      <c r="BE13" t="s">
        <v>73</v>
      </c>
      <c r="BF13" t="s">
        <v>73</v>
      </c>
      <c r="BG13" t="s">
        <v>73</v>
      </c>
      <c r="BH13" t="s">
        <v>73</v>
      </c>
      <c r="BI13" t="s">
        <v>73</v>
      </c>
      <c r="BJ13" t="s">
        <v>73</v>
      </c>
      <c r="BL13" t="s">
        <v>73</v>
      </c>
      <c r="BM13" t="s">
        <v>73</v>
      </c>
      <c r="BN13" t="s">
        <v>73</v>
      </c>
      <c r="BO13" t="s">
        <v>73</v>
      </c>
      <c r="BP13" t="s">
        <v>73</v>
      </c>
      <c r="BQ13" s="1" t="s">
        <v>73</v>
      </c>
      <c r="BS13" s="1" t="s">
        <v>73</v>
      </c>
      <c r="BT13" s="1" t="s">
        <v>73</v>
      </c>
      <c r="BU13" s="1" t="s">
        <v>73</v>
      </c>
      <c r="BV13" s="1" t="s">
        <v>73</v>
      </c>
      <c r="BX13"/>
      <c r="BY13"/>
      <c r="BZ13"/>
      <c r="CA13"/>
      <c r="CB13"/>
      <c r="CC13"/>
      <c r="CD13"/>
      <c r="CE13"/>
      <c r="CF13"/>
      <c r="CG13"/>
      <c r="CH13"/>
      <c r="CI13"/>
      <c r="CJ13"/>
      <c r="CK13"/>
    </row>
    <row r="14" spans="1:91" ht="16" x14ac:dyDescent="0.2">
      <c r="A14" t="s">
        <v>134</v>
      </c>
      <c r="B14" t="s">
        <v>192</v>
      </c>
      <c r="C14" t="s">
        <v>193</v>
      </c>
      <c r="D14" s="1" t="s">
        <v>73</v>
      </c>
      <c r="E14" s="1" t="s">
        <v>72</v>
      </c>
      <c r="F14" s="1" t="s">
        <v>72</v>
      </c>
      <c r="G14" s="1" t="s">
        <v>73</v>
      </c>
      <c r="I14" s="1">
        <v>8</v>
      </c>
      <c r="J14"/>
      <c r="K14"/>
      <c r="L14"/>
      <c r="M14"/>
      <c r="Q14" s="1" t="s">
        <v>73</v>
      </c>
      <c r="R14" s="1" t="s">
        <v>73</v>
      </c>
      <c r="S14" s="1" t="s">
        <v>73</v>
      </c>
      <c r="T14"/>
      <c r="U14"/>
      <c r="V14"/>
      <c r="W14"/>
      <c r="X14"/>
      <c r="Y14"/>
      <c r="Z14" s="1" t="s">
        <v>73</v>
      </c>
      <c r="AA14" s="1" t="s">
        <v>73</v>
      </c>
      <c r="AB14"/>
      <c r="AC14" s="1">
        <v>3</v>
      </c>
      <c r="AD14"/>
      <c r="AE14"/>
      <c r="AF14"/>
      <c r="AG14">
        <v>3</v>
      </c>
      <c r="AH14"/>
      <c r="AI14"/>
      <c r="AJ14"/>
      <c r="AK14" s="1" t="s">
        <v>72</v>
      </c>
      <c r="AL14" s="1" t="s">
        <v>72</v>
      </c>
      <c r="AM14">
        <v>6</v>
      </c>
      <c r="AN14" s="1" t="s">
        <v>72</v>
      </c>
      <c r="AO14">
        <v>4</v>
      </c>
      <c r="AP14" s="1" t="s">
        <v>73</v>
      </c>
      <c r="AQ14"/>
      <c r="AR14" s="1" t="s">
        <v>72</v>
      </c>
      <c r="AS14">
        <v>6</v>
      </c>
      <c r="AT14" t="s">
        <v>73</v>
      </c>
      <c r="AW14" s="1">
        <v>60</v>
      </c>
      <c r="AX14" s="1">
        <v>1</v>
      </c>
      <c r="AY14" s="1" t="s">
        <v>72</v>
      </c>
      <c r="AZ14" s="1" t="s">
        <v>72</v>
      </c>
      <c r="BA14" s="61" t="s">
        <v>73</v>
      </c>
      <c r="BB14">
        <v>1840</v>
      </c>
      <c r="BC14" s="87">
        <v>45641.723495370374</v>
      </c>
      <c r="BD14" s="87">
        <v>45641.681828703702</v>
      </c>
      <c r="BE14" t="s">
        <v>73</v>
      </c>
      <c r="BF14" t="s">
        <v>73</v>
      </c>
      <c r="BG14" t="s">
        <v>73</v>
      </c>
      <c r="BH14" t="s">
        <v>73</v>
      </c>
      <c r="BI14" t="s">
        <v>73</v>
      </c>
      <c r="BJ14" t="s">
        <v>73</v>
      </c>
      <c r="BL14" t="s">
        <v>73</v>
      </c>
      <c r="BM14" t="s">
        <v>73</v>
      </c>
      <c r="BN14" t="s">
        <v>73</v>
      </c>
      <c r="BO14" t="s">
        <v>73</v>
      </c>
      <c r="BP14" t="s">
        <v>73</v>
      </c>
      <c r="BQ14" s="1" t="s">
        <v>73</v>
      </c>
      <c r="BS14" s="1" t="s">
        <v>73</v>
      </c>
      <c r="BT14" s="1" t="s">
        <v>73</v>
      </c>
      <c r="BU14" s="1" t="s">
        <v>73</v>
      </c>
      <c r="BV14" s="1" t="s">
        <v>73</v>
      </c>
      <c r="BX14"/>
      <c r="BY14"/>
      <c r="BZ14"/>
      <c r="CA14"/>
      <c r="CB14"/>
      <c r="CC14"/>
      <c r="CD14"/>
      <c r="CE14"/>
      <c r="CF14"/>
      <c r="CG14"/>
      <c r="CH14"/>
      <c r="CI14"/>
      <c r="CJ14"/>
      <c r="CK14"/>
    </row>
    <row r="15" spans="1:91" ht="97" thickBot="1" x14ac:dyDescent="0.25">
      <c r="A15" t="s">
        <v>134</v>
      </c>
      <c r="B15" t="s">
        <v>174</v>
      </c>
      <c r="C15" t="s">
        <v>130</v>
      </c>
      <c r="D15" s="1" t="s">
        <v>73</v>
      </c>
      <c r="E15" s="1" t="s">
        <v>72</v>
      </c>
      <c r="F15" s="1" t="s">
        <v>73</v>
      </c>
      <c r="G15" s="1" t="s">
        <v>73</v>
      </c>
      <c r="I15" s="1">
        <v>4</v>
      </c>
      <c r="J15"/>
      <c r="K15"/>
      <c r="L15"/>
      <c r="M15"/>
      <c r="Q15" s="1" t="s">
        <v>73</v>
      </c>
      <c r="R15" s="1" t="s">
        <v>73</v>
      </c>
      <c r="S15" s="1" t="s">
        <v>73</v>
      </c>
      <c r="T15"/>
      <c r="U15"/>
      <c r="V15"/>
      <c r="W15"/>
      <c r="X15"/>
      <c r="Y15"/>
      <c r="Z15" s="1" t="s">
        <v>73</v>
      </c>
      <c r="AA15" s="1" t="s">
        <v>73</v>
      </c>
      <c r="AB15"/>
      <c r="AD15"/>
      <c r="AE15"/>
      <c r="AF15"/>
      <c r="AG15"/>
      <c r="AH15"/>
      <c r="AI15"/>
      <c r="AJ15"/>
      <c r="AK15" s="1" t="s">
        <v>73</v>
      </c>
      <c r="AL15" s="1" t="s">
        <v>72</v>
      </c>
      <c r="AM15">
        <v>4</v>
      </c>
      <c r="AN15" s="1" t="s">
        <v>72</v>
      </c>
      <c r="AO15">
        <v>4</v>
      </c>
      <c r="AP15" s="1" t="s">
        <v>73</v>
      </c>
      <c r="AQ15"/>
      <c r="AR15" s="1" t="s">
        <v>73</v>
      </c>
      <c r="AT15" t="s">
        <v>73</v>
      </c>
      <c r="AW15" s="1">
        <v>50</v>
      </c>
      <c r="AX15" s="1">
        <v>0</v>
      </c>
      <c r="AY15" s="1" t="s">
        <v>73</v>
      </c>
      <c r="AZ15" s="1" t="s">
        <v>73</v>
      </c>
      <c r="BA15" s="61" t="s">
        <v>131</v>
      </c>
      <c r="BB15">
        <v>1809</v>
      </c>
      <c r="BC15" s="87">
        <v>45628.780671296299</v>
      </c>
      <c r="BD15" s="87">
        <v>45631.711145833331</v>
      </c>
      <c r="BE15" t="s">
        <v>73</v>
      </c>
      <c r="BF15" t="s">
        <v>73</v>
      </c>
      <c r="BG15" t="s">
        <v>73</v>
      </c>
      <c r="BH15" t="s">
        <v>73</v>
      </c>
      <c r="BI15" t="s">
        <v>73</v>
      </c>
      <c r="BJ15" t="s">
        <v>73</v>
      </c>
      <c r="BL15" t="s">
        <v>73</v>
      </c>
      <c r="BM15" t="s">
        <v>73</v>
      </c>
      <c r="BN15" t="s">
        <v>73</v>
      </c>
      <c r="BO15" t="s">
        <v>73</v>
      </c>
      <c r="BP15" t="s">
        <v>73</v>
      </c>
      <c r="BQ15" s="1" t="s">
        <v>73</v>
      </c>
      <c r="BS15" s="1" t="s">
        <v>73</v>
      </c>
      <c r="BT15" s="1" t="s">
        <v>73</v>
      </c>
      <c r="BU15" s="1" t="s">
        <v>73</v>
      </c>
      <c r="BV15" s="1" t="s">
        <v>73</v>
      </c>
      <c r="BX15"/>
      <c r="BY15"/>
      <c r="BZ15"/>
      <c r="CA15"/>
      <c r="CB15"/>
      <c r="CC15"/>
      <c r="CD15"/>
      <c r="CE15"/>
      <c r="CF15"/>
      <c r="CG15"/>
      <c r="CH15"/>
      <c r="CI15"/>
      <c r="CJ15"/>
      <c r="CK15"/>
    </row>
    <row r="16" spans="1:91" ht="16" thickTop="1" x14ac:dyDescent="0.2">
      <c r="A16" t="s">
        <v>79</v>
      </c>
      <c r="C16">
        <f>SUBTOTAL(103,KDL[Naam vereniging])</f>
        <v>9</v>
      </c>
      <c r="D16" s="1">
        <f>COUNTIF(KDL[Delegatie],"x")</f>
        <v>0</v>
      </c>
      <c r="E16" s="16">
        <f>COUNTIF(KDL[Muziekkorps bij mars en defilé],"x")</f>
        <v>8</v>
      </c>
      <c r="F16" s="16">
        <f>COUNTIF(KDL[Deeln. jeugdkoningschieten],"x")</f>
        <v>4</v>
      </c>
      <c r="G16" s="16">
        <f>COUNTIF(KDL[Maj. Senioren jureren bij mars],"x")</f>
        <v>0</v>
      </c>
      <c r="H16" s="16">
        <f>COUNTIF(KDL[Maj. Jeugd jureren bij mars],"x")</f>
        <v>0</v>
      </c>
      <c r="I16" s="1">
        <f>SUBTOTAL(103,KDL[Korps senioren])</f>
        <v>7</v>
      </c>
      <c r="J16" s="1">
        <f>SUBTOTAL(103,KDL[Junioren korps 1])</f>
        <v>3</v>
      </c>
      <c r="K16" s="1">
        <f>SUBTOTAL(103,KDL[Junioren korps 2])</f>
        <v>0</v>
      </c>
      <c r="L16" s="1">
        <f>SUBTOTAL(103,KDL[Aspiranten korps 1])</f>
        <v>2</v>
      </c>
      <c r="M16" s="1">
        <f>SUBTOTAL(103,KDL[Aspiranten korps 2])</f>
        <v>1</v>
      </c>
      <c r="N16" s="1">
        <f>SUBTOTAL(103,KDL[Acrobatisch senioren])</f>
        <v>1</v>
      </c>
      <c r="O16" s="1">
        <f>SUBTOTAL(103,KDL[Acrobatisch junioren])</f>
        <v>0</v>
      </c>
      <c r="P16" s="1">
        <f>SUBTOTAL(103,KDL[Acrobatisch aspiranten])</f>
        <v>0</v>
      </c>
      <c r="T16" s="79">
        <f>SUBTOTAL(109,KDL[Senioren indiv.])</f>
        <v>3</v>
      </c>
      <c r="U16" s="79">
        <f>SUBTOTAL(109,KDL[Junioren indiv.])</f>
        <v>1</v>
      </c>
      <c r="V16" s="1">
        <f>SUBTOTAL(109,KDL[Aspiranten indiv.])</f>
        <v>0</v>
      </c>
      <c r="W16" s="1">
        <f>SUBTOTAL(109,KDL[Sen. ind opgegeven namen])</f>
        <v>3</v>
      </c>
      <c r="X16" s="1">
        <f>SUBTOTAL(109,KDL[Jun. ind opgegeven namen])</f>
        <v>1</v>
      </c>
      <c r="Y16" s="1">
        <f>SUBTOTAL(109,KDL[Asp. ind opgegeven namen])</f>
        <v>0</v>
      </c>
      <c r="Z16" s="16">
        <f>COUNTIF(KDL[Hoofdkorps],"x")</f>
        <v>0</v>
      </c>
      <c r="AA16" s="120">
        <f>COUNTIF(KDL[2e korps],"x")</f>
        <v>0</v>
      </c>
      <c r="AB16" s="1">
        <f>SUBTOTAL(109,KDL[Groepen, teams, ensembles en duo''s])</f>
        <v>0</v>
      </c>
      <c r="AC16" s="1">
        <f>SUBTOTAL(109,KDL[Senioren])</f>
        <v>8</v>
      </c>
      <c r="AD16" s="1">
        <f>SUBTOTAL(109,KDL[Jong volwassene])</f>
        <v>0</v>
      </c>
      <c r="AE16" s="1">
        <f>SUBTOTAL(109,KDL[Junioren])</f>
        <v>0</v>
      </c>
      <c r="AF16" s="1">
        <f>SUBTOTAL(109,KDL[Aspiranten])</f>
        <v>0</v>
      </c>
      <c r="AG16" s="1">
        <f>SUBTOTAL(109,KDL[Opgegeven senioren])</f>
        <v>8</v>
      </c>
      <c r="AH16" s="1">
        <f>SUBTOTAL(109,KDL[Opgegeven jong volwassene])</f>
        <v>0</v>
      </c>
      <c r="AI16" s="1">
        <f>SUBTOTAL(109,KDL[Opgegeven junioren])</f>
        <v>0</v>
      </c>
      <c r="AJ16" s="1">
        <f>SUBTOTAL(109,KDL[Opgegeven aspiranten])</f>
        <v>0</v>
      </c>
      <c r="AK16" s="1">
        <f>COUNTIF(KDL[Marketentsters],"x")</f>
        <v>3</v>
      </c>
      <c r="AL16" s="1">
        <f>COUNTIF(KDL[Luchtgeweer],"x")</f>
        <v>6</v>
      </c>
      <c r="AM16" s="1">
        <f>SUBTOTAL(109,KDL[Aantal luchtgeweerschutters])</f>
        <v>33</v>
      </c>
      <c r="AN16" s="1">
        <f>COUNTIF(KDL[Luchtpistool],"x")</f>
        <v>6</v>
      </c>
      <c r="AO16" s="1">
        <f>SUBTOTAL(109,KDL[Aantal luchtpistoolschutters])</f>
        <v>31</v>
      </c>
      <c r="AP16" s="1">
        <f>COUNTIF(KDL[Handboog],"x")</f>
        <v>0</v>
      </c>
      <c r="AQ16" s="1">
        <f>SUBTOTAL(109,KDL[Aantal handboogschutters])</f>
        <v>0</v>
      </c>
      <c r="AR16" s="1">
        <f>COUNTIF(KDL[Kruisboog],"x")</f>
        <v>5</v>
      </c>
      <c r="AS16" s="1">
        <f>SUBTOTAL(109,KDL[Aantal kruisboogschutters])</f>
        <v>29</v>
      </c>
      <c r="AT16" s="1">
        <f>COUNTIF(KDL[Luchtgeweer jeugd niet ouder dan 17 jaar.],"x")</f>
        <v>1</v>
      </c>
      <c r="AU16" s="1">
        <f>SUBTOTAL(109,KDL[Aantal korpsen])</f>
        <v>2</v>
      </c>
      <c r="AV16" s="1">
        <f>SUBTOTAL(109,KDL[Opgegeven jeugdkorpsen LG])</f>
        <v>0</v>
      </c>
      <c r="AW16" s="1">
        <f>SUBTOTAL(109,KDL[Totaal aantal deelnemers])</f>
        <v>539</v>
      </c>
      <c r="AX16" s="1">
        <f>SUBTOTAL(109,KDL[Waarvan aantal jeugd (t/m 15 jaar)])</f>
        <v>52</v>
      </c>
      <c r="AY16" s="86">
        <f>COUNTIF(KDL[Kanon etc.],"x")</f>
        <v>4</v>
      </c>
      <c r="AZ16" s="1">
        <f>COUNTIF(KDL[Paarden en/of koetsen],"x")</f>
        <v>4</v>
      </c>
      <c r="BA16" s="63"/>
      <c r="BB16" s="1"/>
      <c r="BC16" s="1"/>
      <c r="BD16" s="1"/>
      <c r="BE16" s="1"/>
      <c r="BF16" s="1"/>
      <c r="BG16" s="1"/>
      <c r="BH16" s="1"/>
      <c r="BI16" s="1"/>
      <c r="BJ16" s="1"/>
      <c r="BK16" s="1"/>
      <c r="BL16" s="1"/>
      <c r="BM16" s="1"/>
      <c r="BN16" s="1"/>
      <c r="BO16" s="1"/>
      <c r="BP16" s="1"/>
      <c r="BQ16" s="1"/>
      <c r="BR16" s="1"/>
      <c r="BS16" s="1"/>
      <c r="BT16" s="1"/>
      <c r="BU16" s="1"/>
      <c r="BV16" s="1"/>
      <c r="BW16" s="1">
        <f>SUBTOTAL(109,KDL[Aantal opgegeven majorettes])</f>
        <v>0</v>
      </c>
      <c r="BX16"/>
      <c r="BY16"/>
      <c r="BZ16"/>
      <c r="CA16"/>
      <c r="CB16"/>
      <c r="CC16"/>
      <c r="CD16"/>
      <c r="CE16"/>
      <c r="CF16"/>
      <c r="CG16"/>
      <c r="CH16"/>
      <c r="CI16"/>
      <c r="CJ16"/>
      <c r="CK16"/>
    </row>
    <row r="17" spans="2:89" x14ac:dyDescent="0.2">
      <c r="BX17"/>
      <c r="BY17"/>
      <c r="BZ17"/>
      <c r="CA17"/>
      <c r="CB17"/>
      <c r="CC17"/>
      <c r="CD17"/>
      <c r="CE17"/>
      <c r="CF17"/>
      <c r="CG17"/>
      <c r="CH17"/>
      <c r="CI17"/>
      <c r="CJ17"/>
      <c r="CK17"/>
    </row>
    <row r="18" spans="2:89" x14ac:dyDescent="0.2">
      <c r="BX18"/>
      <c r="BY18"/>
      <c r="BZ18"/>
      <c r="CA18"/>
      <c r="CB18"/>
      <c r="CC18"/>
      <c r="CD18"/>
      <c r="CE18"/>
      <c r="CF18"/>
      <c r="CG18"/>
      <c r="CH18"/>
      <c r="CI18"/>
      <c r="CJ18"/>
      <c r="CK18"/>
    </row>
    <row r="19" spans="2:89" x14ac:dyDescent="0.2">
      <c r="C19" s="32"/>
      <c r="BX19"/>
      <c r="BY19"/>
      <c r="BZ19"/>
      <c r="CA19"/>
      <c r="CB19"/>
      <c r="CC19"/>
      <c r="CD19"/>
      <c r="CE19"/>
      <c r="CF19"/>
      <c r="CG19"/>
      <c r="CH19"/>
      <c r="CI19"/>
      <c r="CJ19"/>
      <c r="CK19"/>
    </row>
    <row r="20" spans="2:89" x14ac:dyDescent="0.2">
      <c r="B20" s="81"/>
      <c r="C20" s="81"/>
      <c r="D20" s="70"/>
      <c r="R20" s="70"/>
      <c r="BX20"/>
      <c r="BY20"/>
      <c r="BZ20"/>
      <c r="CA20"/>
      <c r="CB20"/>
      <c r="CC20"/>
      <c r="CD20"/>
      <c r="CE20"/>
      <c r="CF20"/>
      <c r="CG20"/>
      <c r="CH20"/>
      <c r="CI20"/>
      <c r="CJ20"/>
      <c r="CK20"/>
    </row>
    <row r="21" spans="2:89" x14ac:dyDescent="0.2">
      <c r="BX21"/>
      <c r="BY21"/>
      <c r="BZ21"/>
      <c r="CA21"/>
      <c r="CB21"/>
      <c r="CC21"/>
      <c r="CD21"/>
      <c r="CE21"/>
      <c r="CF21"/>
      <c r="CG21"/>
      <c r="CH21"/>
      <c r="CI21"/>
      <c r="CJ21"/>
      <c r="CK21"/>
    </row>
    <row r="22" spans="2:89" x14ac:dyDescent="0.2">
      <c r="BX22"/>
      <c r="BY22"/>
      <c r="BZ22"/>
      <c r="CA22"/>
      <c r="CB22"/>
      <c r="CC22"/>
      <c r="CD22"/>
      <c r="CE22"/>
      <c r="CF22"/>
      <c r="CG22"/>
      <c r="CH22"/>
      <c r="CI22"/>
      <c r="CJ22"/>
      <c r="CK22"/>
    </row>
    <row r="23" spans="2:89" x14ac:dyDescent="0.2">
      <c r="BX23"/>
      <c r="BY23"/>
      <c r="BZ23"/>
      <c r="CA23"/>
      <c r="CB23"/>
      <c r="CC23"/>
      <c r="CD23"/>
      <c r="CE23"/>
      <c r="CF23"/>
      <c r="CG23"/>
      <c r="CH23"/>
      <c r="CI23"/>
      <c r="CJ23"/>
      <c r="CK23"/>
    </row>
    <row r="24" spans="2:89" x14ac:dyDescent="0.2">
      <c r="BX24"/>
      <c r="BY24"/>
      <c r="BZ24"/>
      <c r="CA24"/>
      <c r="CB24"/>
      <c r="CC24"/>
      <c r="CD24"/>
      <c r="CE24"/>
      <c r="CF24"/>
      <c r="CG24"/>
      <c r="CH24"/>
      <c r="CI24"/>
      <c r="CJ24"/>
      <c r="CK24"/>
    </row>
    <row r="25" spans="2:89" x14ac:dyDescent="0.2">
      <c r="BX25"/>
      <c r="BY25"/>
      <c r="BZ25"/>
      <c r="CA25"/>
      <c r="CB25"/>
      <c r="CC25"/>
      <c r="CD25"/>
      <c r="CE25"/>
      <c r="CF25"/>
      <c r="CG25"/>
      <c r="CH25"/>
      <c r="CI25"/>
      <c r="CJ25"/>
      <c r="CK25"/>
    </row>
    <row r="26" spans="2:89" x14ac:dyDescent="0.2">
      <c r="BX26"/>
      <c r="BY26"/>
      <c r="BZ26"/>
      <c r="CA26"/>
      <c r="CB26"/>
      <c r="CC26"/>
      <c r="CD26"/>
      <c r="CE26"/>
      <c r="CF26"/>
      <c r="CG26"/>
      <c r="CH26"/>
      <c r="CI26"/>
      <c r="CJ26"/>
      <c r="CK26"/>
    </row>
  </sheetData>
  <mergeCells count="14">
    <mergeCell ref="A1:BW1"/>
    <mergeCell ref="A2:BW2"/>
    <mergeCell ref="N4:P4"/>
    <mergeCell ref="Q4:S4"/>
    <mergeCell ref="T4:Y4"/>
    <mergeCell ref="BE4:BK4"/>
    <mergeCell ref="BL4:BR4"/>
    <mergeCell ref="AL3:AV3"/>
    <mergeCell ref="BE3:BR3"/>
    <mergeCell ref="D3:H3"/>
    <mergeCell ref="I3:Y3"/>
    <mergeCell ref="Z3:AA3"/>
    <mergeCell ref="BS3:BW3"/>
    <mergeCell ref="AW3:BD3"/>
  </mergeCells>
  <phoneticPr fontId="2" type="noConversion"/>
  <conditionalFormatting sqref="W6:X15">
    <cfRule type="expression" dxfId="25" priority="1">
      <formula>$T6-$W6&lt;&gt;0</formula>
    </cfRule>
  </conditionalFormatting>
  <conditionalFormatting sqref="X6:X15">
    <cfRule type="expression" dxfId="24" priority="2">
      <formula>$U6-$X6&lt;&gt;0</formula>
    </cfRule>
  </conditionalFormatting>
  <conditionalFormatting sqref="Y6:Y15">
    <cfRule type="expression" dxfId="23" priority="3">
      <formula>$V6-$Y6&lt;&gt;0</formula>
    </cfRule>
  </conditionalFormatting>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740E9-934D-46C6-9E7F-C57A0A7E69F5}">
  <dimension ref="A1:CW21"/>
  <sheetViews>
    <sheetView zoomScale="110" zoomScaleNormal="110" workbookViewId="0">
      <pane xSplit="3" ySplit="6" topLeftCell="D7" activePane="bottomRight" state="frozen"/>
      <selection pane="topRight" activeCell="D1" sqref="D1"/>
      <selection pane="bottomLeft" activeCell="A7" sqref="A7"/>
      <selection pane="bottomRight" activeCell="A19" sqref="A19:XFD19"/>
    </sheetView>
  </sheetViews>
  <sheetFormatPr baseColWidth="10" defaultColWidth="9.1640625" defaultRowHeight="15" x14ac:dyDescent="0.2"/>
  <cols>
    <col min="1" max="1" width="10.33203125" bestFit="1" customWidth="1"/>
    <col min="2" max="2" width="8.6640625" bestFit="1" customWidth="1"/>
    <col min="3" max="3" width="38.1640625" bestFit="1" customWidth="1"/>
    <col min="4" max="4" width="3.5" style="1" bestFit="1" customWidth="1"/>
    <col min="5" max="16" width="8.5" style="1" bestFit="1" customWidth="1"/>
    <col min="17" max="19" width="7.6640625" style="1" hidden="1" customWidth="1"/>
    <col min="20" max="26" width="8.5" style="1" bestFit="1" customWidth="1"/>
    <col min="27" max="27" width="7.6640625" style="1" hidden="1" customWidth="1"/>
    <col min="28" max="32" width="8.5" style="1" bestFit="1" customWidth="1"/>
    <col min="33" max="36" width="3.5" style="1" bestFit="1" customWidth="1"/>
    <col min="37" max="38" width="8.5" style="1" bestFit="1" customWidth="1"/>
    <col min="39" max="39" width="3.5" bestFit="1" customWidth="1"/>
    <col min="40" max="40" width="8.5" style="1" bestFit="1" customWidth="1"/>
    <col min="41" max="41" width="3.5" style="1" bestFit="1" customWidth="1"/>
    <col min="42" max="42" width="8.5" style="1" bestFit="1" customWidth="1"/>
    <col min="43" max="43" width="3.5" bestFit="1" customWidth="1"/>
    <col min="44" max="44" width="8.5" style="61" bestFit="1" customWidth="1"/>
    <col min="45" max="45" width="3.5" bestFit="1" customWidth="1"/>
    <col min="46" max="48" width="8.5" style="1" bestFit="1" customWidth="1"/>
    <col min="49" max="49" width="8.5" style="63" bestFit="1" customWidth="1"/>
    <col min="50" max="50" width="8.5" style="1" bestFit="1" customWidth="1"/>
    <col min="51" max="52" width="8.5" bestFit="1" customWidth="1"/>
    <col min="53" max="53" width="55.33203125" bestFit="1" customWidth="1"/>
    <col min="54" max="54" width="8.5" bestFit="1" customWidth="1"/>
    <col min="55" max="56" width="15" bestFit="1" customWidth="1"/>
    <col min="57" max="57" width="25.1640625" bestFit="1" customWidth="1"/>
    <col min="58" max="58" width="8.5" bestFit="1" customWidth="1"/>
    <col min="59" max="59" width="31" bestFit="1" customWidth="1"/>
    <col min="60" max="60" width="28.33203125" bestFit="1" customWidth="1"/>
    <col min="61" max="63" width="8.5" bestFit="1" customWidth="1"/>
    <col min="64" max="70" width="8.33203125" hidden="1" customWidth="1"/>
    <col min="71" max="75" width="8.5" bestFit="1" customWidth="1"/>
    <col min="76" max="76" width="8" bestFit="1" customWidth="1"/>
    <col min="77" max="77" width="8.33203125" bestFit="1" customWidth="1"/>
    <col min="78" max="79" width="7.6640625" bestFit="1" customWidth="1"/>
    <col min="80" max="83" width="7.6640625" customWidth="1"/>
    <col min="84" max="90" width="7.6640625" style="1" customWidth="1"/>
    <col min="91" max="91" width="10.1640625" style="1" bestFit="1" customWidth="1"/>
    <col min="92" max="92" width="33" style="1" bestFit="1" customWidth="1"/>
    <col min="93" max="93" width="10.1640625" style="1" bestFit="1" customWidth="1"/>
    <col min="94" max="97" width="6.83203125" style="1" bestFit="1" customWidth="1"/>
    <col min="98" max="98" width="15.6640625" style="1" bestFit="1" customWidth="1"/>
  </cols>
  <sheetData>
    <row r="1" spans="1:101" ht="27" customHeight="1" x14ac:dyDescent="0.2">
      <c r="A1" s="142" t="s">
        <v>82</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72"/>
      <c r="CI1" s="72"/>
      <c r="CJ1" s="72"/>
      <c r="CK1" s="72"/>
      <c r="CL1" s="72"/>
      <c r="CM1" s="72"/>
      <c r="CN1" s="72"/>
      <c r="CO1" s="72"/>
      <c r="CP1" s="72"/>
      <c r="CQ1" s="72"/>
      <c r="CR1" s="72"/>
      <c r="CS1" s="72"/>
      <c r="CT1" s="72"/>
    </row>
    <row r="2" spans="1:101" ht="20" thickBot="1" x14ac:dyDescent="0.3">
      <c r="A2" s="143" t="s">
        <v>141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73"/>
      <c r="CI2" s="73"/>
      <c r="CJ2" s="73"/>
      <c r="CK2" s="73"/>
      <c r="CL2" s="73"/>
      <c r="CM2" s="73"/>
      <c r="CN2" s="73"/>
      <c r="CO2" s="73"/>
      <c r="CP2" s="73"/>
      <c r="CQ2" s="73"/>
      <c r="CR2" s="73"/>
      <c r="CS2" s="73"/>
      <c r="CT2" s="73"/>
    </row>
    <row r="3" spans="1:101" ht="16" thickBot="1" x14ac:dyDescent="0.25">
      <c r="A3" s="20"/>
      <c r="B3" s="21"/>
      <c r="C3" s="22"/>
      <c r="D3" s="133" t="s">
        <v>1</v>
      </c>
      <c r="E3" s="134"/>
      <c r="F3" s="134"/>
      <c r="G3" s="134"/>
      <c r="H3" s="135"/>
      <c r="I3" s="136" t="s">
        <v>2</v>
      </c>
      <c r="J3" s="137"/>
      <c r="K3" s="137"/>
      <c r="L3" s="137"/>
      <c r="M3" s="137"/>
      <c r="N3" s="137"/>
      <c r="O3" s="137"/>
      <c r="P3" s="137"/>
      <c r="Q3" s="137"/>
      <c r="R3" s="137"/>
      <c r="S3" s="137"/>
      <c r="T3" s="137"/>
      <c r="U3" s="137"/>
      <c r="V3" s="137"/>
      <c r="W3" s="137"/>
      <c r="X3" s="137"/>
      <c r="Y3" s="138"/>
      <c r="Z3" s="133" t="s">
        <v>3</v>
      </c>
      <c r="AA3" s="135"/>
      <c r="AB3" s="26" t="s">
        <v>4</v>
      </c>
      <c r="AC3" s="95" t="s">
        <v>5</v>
      </c>
      <c r="AD3" s="96"/>
      <c r="AE3" s="96"/>
      <c r="AF3" s="96"/>
      <c r="AG3" s="96"/>
      <c r="AH3" s="96"/>
      <c r="AI3" s="96"/>
      <c r="AJ3" s="97"/>
      <c r="AK3" s="26" t="s">
        <v>6</v>
      </c>
      <c r="AL3" s="133" t="s">
        <v>7</v>
      </c>
      <c r="AM3" s="134"/>
      <c r="AN3" s="134"/>
      <c r="AO3" s="134"/>
      <c r="AP3" s="134"/>
      <c r="AQ3" s="134"/>
      <c r="AR3" s="134"/>
      <c r="AS3" s="134"/>
      <c r="AT3" s="134"/>
      <c r="AU3" s="134"/>
      <c r="AV3" s="135"/>
      <c r="AW3" s="147" t="s">
        <v>8</v>
      </c>
      <c r="AX3" s="148"/>
      <c r="AY3" s="148"/>
      <c r="AZ3" s="148"/>
      <c r="BA3" s="148"/>
      <c r="BB3" s="148"/>
      <c r="BC3" s="148"/>
      <c r="BD3" s="149"/>
      <c r="BE3" s="136" t="s">
        <v>9</v>
      </c>
      <c r="BF3" s="137"/>
      <c r="BG3" s="137"/>
      <c r="BH3" s="137"/>
      <c r="BI3" s="137"/>
      <c r="BJ3" s="137"/>
      <c r="BK3" s="137"/>
      <c r="BL3" s="137"/>
      <c r="BM3" s="137"/>
      <c r="BN3" s="137"/>
      <c r="BO3" s="137"/>
      <c r="BP3" s="137"/>
      <c r="BQ3" s="137"/>
      <c r="BR3" s="137"/>
      <c r="BS3" s="139" t="s">
        <v>10</v>
      </c>
      <c r="BT3" s="140"/>
      <c r="BU3" s="140"/>
      <c r="BV3" s="140"/>
      <c r="BW3" s="140"/>
      <c r="BX3" s="140"/>
      <c r="BY3" s="140"/>
      <c r="BZ3" s="140"/>
      <c r="CA3" s="140"/>
      <c r="CB3" s="34"/>
      <c r="CC3" s="34"/>
      <c r="CD3" s="34"/>
      <c r="CE3" s="34"/>
      <c r="CF3" s="34"/>
      <c r="CG3" s="34"/>
      <c r="CH3"/>
      <c r="CI3"/>
      <c r="CJ3"/>
      <c r="CK3"/>
      <c r="CL3"/>
      <c r="CM3"/>
      <c r="CN3"/>
      <c r="CO3"/>
      <c r="CP3"/>
      <c r="CQ3"/>
      <c r="CR3"/>
      <c r="CS3"/>
      <c r="CT3"/>
    </row>
    <row r="4" spans="1:101" ht="16" thickBot="1" x14ac:dyDescent="0.25">
      <c r="A4" s="23"/>
      <c r="B4" s="24"/>
      <c r="C4" s="25"/>
      <c r="D4" s="23"/>
      <c r="E4" s="24"/>
      <c r="F4" s="24"/>
      <c r="G4" s="24"/>
      <c r="H4" s="25"/>
      <c r="I4" s="88" t="s">
        <v>11</v>
      </c>
      <c r="J4" s="89"/>
      <c r="K4" s="89"/>
      <c r="L4" s="110"/>
      <c r="M4" s="90"/>
      <c r="N4" s="136" t="s">
        <v>88</v>
      </c>
      <c r="O4" s="137"/>
      <c r="P4" s="138"/>
      <c r="Q4" s="136" t="s">
        <v>13</v>
      </c>
      <c r="R4" s="137"/>
      <c r="S4" s="138"/>
      <c r="T4" s="136" t="s">
        <v>14</v>
      </c>
      <c r="U4" s="137"/>
      <c r="V4" s="137"/>
      <c r="W4" s="137"/>
      <c r="X4" s="137"/>
      <c r="Y4" s="138"/>
      <c r="Z4" s="23"/>
      <c r="AA4" s="25"/>
      <c r="AB4" s="27"/>
      <c r="AC4" s="23"/>
      <c r="AD4" s="24"/>
      <c r="AE4" s="24"/>
      <c r="AF4" s="24"/>
      <c r="AG4" s="24"/>
      <c r="AH4" s="24"/>
      <c r="AI4" s="24"/>
      <c r="AJ4" s="25"/>
      <c r="AK4" s="27"/>
      <c r="AL4" s="23"/>
      <c r="AM4" s="99"/>
      <c r="AN4" s="24"/>
      <c r="AO4" s="24"/>
      <c r="AP4" s="24"/>
      <c r="AQ4" s="99"/>
      <c r="AR4" s="24"/>
      <c r="AS4" s="24"/>
      <c r="AT4" s="24"/>
      <c r="AU4" s="24"/>
      <c r="AV4" s="25"/>
      <c r="AW4" s="23"/>
      <c r="AX4" s="24"/>
      <c r="AY4" s="24"/>
      <c r="AZ4" s="24"/>
      <c r="BA4" s="62"/>
      <c r="BB4" s="24"/>
      <c r="BC4" s="24"/>
      <c r="BD4" s="25"/>
      <c r="BE4" s="136" t="s">
        <v>15</v>
      </c>
      <c r="BF4" s="137"/>
      <c r="BG4" s="137"/>
      <c r="BH4" s="137"/>
      <c r="BI4" s="137"/>
      <c r="BJ4" s="137"/>
      <c r="BK4" s="138"/>
      <c r="BL4" s="136" t="s">
        <v>16</v>
      </c>
      <c r="BM4" s="137"/>
      <c r="BN4" s="137"/>
      <c r="BO4" s="137"/>
      <c r="BP4" s="137"/>
      <c r="BQ4" s="137"/>
      <c r="BR4" s="138"/>
      <c r="BS4" s="99"/>
      <c r="BT4" s="99"/>
      <c r="BU4" s="99"/>
      <c r="BV4" s="99"/>
      <c r="BW4" s="99"/>
      <c r="BX4" s="99"/>
      <c r="BY4" s="99"/>
      <c r="BZ4" s="99"/>
      <c r="CA4" s="100"/>
      <c r="CB4" s="80"/>
      <c r="CC4" s="80"/>
      <c r="CD4" s="34"/>
      <c r="CE4" s="34"/>
      <c r="CF4" s="34"/>
      <c r="CG4" s="34"/>
      <c r="CH4" s="34"/>
      <c r="CI4" s="34"/>
      <c r="CJ4"/>
      <c r="CK4"/>
      <c r="CL4"/>
      <c r="CM4"/>
      <c r="CN4"/>
      <c r="CO4"/>
      <c r="CP4"/>
      <c r="CQ4"/>
      <c r="CR4"/>
      <c r="CS4"/>
      <c r="CT4"/>
    </row>
    <row r="5" spans="1:101" ht="6.75" customHeight="1" thickBot="1" x14ac:dyDescent="0.25">
      <c r="AR5" s="63"/>
      <c r="AS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U5" s="1"/>
      <c r="CV5" s="1"/>
      <c r="CW5" s="1"/>
    </row>
    <row r="6" spans="1:101" s="2" customFormat="1" ht="218" thickBot="1" x14ac:dyDescent="0.25">
      <c r="A6" s="6" t="s">
        <v>17</v>
      </c>
      <c r="B6" s="7" t="s">
        <v>18</v>
      </c>
      <c r="C6" s="8" t="s">
        <v>19</v>
      </c>
      <c r="D6" s="3" t="s">
        <v>20</v>
      </c>
      <c r="E6" s="4" t="s">
        <v>21</v>
      </c>
      <c r="F6" s="4" t="s">
        <v>22</v>
      </c>
      <c r="G6" s="4" t="s">
        <v>23</v>
      </c>
      <c r="H6" s="4"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94" t="s">
        <v>112</v>
      </c>
      <c r="AH6" s="94" t="s">
        <v>113</v>
      </c>
      <c r="AI6" s="94" t="s">
        <v>114</v>
      </c>
      <c r="AJ6" s="101" t="s">
        <v>115</v>
      </c>
      <c r="AK6" s="14" t="s">
        <v>41</v>
      </c>
      <c r="AL6" s="9" t="s">
        <v>42</v>
      </c>
      <c r="AM6" s="94" t="s">
        <v>122</v>
      </c>
      <c r="AN6" s="10" t="s">
        <v>43</v>
      </c>
      <c r="AO6" s="94" t="s">
        <v>123</v>
      </c>
      <c r="AP6" s="10" t="s">
        <v>45</v>
      </c>
      <c r="AQ6" s="94" t="s">
        <v>124</v>
      </c>
      <c r="AR6" s="10" t="s">
        <v>44</v>
      </c>
      <c r="AS6" s="94" t="s">
        <v>125</v>
      </c>
      <c r="AT6" s="10" t="s">
        <v>116</v>
      </c>
      <c r="AU6" s="10" t="s">
        <v>117</v>
      </c>
      <c r="AV6" s="126" t="s">
        <v>118</v>
      </c>
      <c r="AW6" s="9" t="s">
        <v>46</v>
      </c>
      <c r="AX6" s="10" t="s">
        <v>47</v>
      </c>
      <c r="AY6" s="10" t="s">
        <v>48</v>
      </c>
      <c r="AZ6" s="10" t="s">
        <v>49</v>
      </c>
      <c r="BA6" s="98" t="s">
        <v>50</v>
      </c>
      <c r="BB6" s="10" t="s">
        <v>51</v>
      </c>
      <c r="BC6" s="10" t="s">
        <v>52</v>
      </c>
      <c r="BD6" s="10"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0" t="s">
        <v>66</v>
      </c>
      <c r="BS6" s="9" t="s">
        <v>70</v>
      </c>
      <c r="BT6" s="10" t="s">
        <v>67</v>
      </c>
      <c r="BU6" s="10" t="s">
        <v>68</v>
      </c>
      <c r="BV6" s="10" t="s">
        <v>69</v>
      </c>
      <c r="BW6" s="11" t="s">
        <v>71</v>
      </c>
    </row>
    <row r="7" spans="1:101" ht="96" x14ac:dyDescent="0.2">
      <c r="A7" s="168" t="s">
        <v>135</v>
      </c>
      <c r="B7" s="168" t="s">
        <v>241</v>
      </c>
      <c r="C7" t="s">
        <v>242</v>
      </c>
      <c r="D7" s="1" t="s">
        <v>73</v>
      </c>
      <c r="E7" s="1" t="s">
        <v>72</v>
      </c>
      <c r="F7" s="1" t="s">
        <v>72</v>
      </c>
      <c r="G7" s="1" t="s">
        <v>73</v>
      </c>
      <c r="H7" s="1" t="s">
        <v>72</v>
      </c>
      <c r="I7" s="169">
        <v>6</v>
      </c>
      <c r="J7">
        <v>3</v>
      </c>
      <c r="K7"/>
      <c r="M7"/>
      <c r="N7" s="169"/>
      <c r="O7" s="169"/>
      <c r="P7" s="169"/>
      <c r="Q7" s="1" t="s">
        <v>73</v>
      </c>
      <c r="R7" s="1" t="s">
        <v>73</v>
      </c>
      <c r="S7" s="1" t="s">
        <v>73</v>
      </c>
      <c r="T7">
        <v>1</v>
      </c>
      <c r="U7"/>
      <c r="V7"/>
      <c r="W7">
        <v>1</v>
      </c>
      <c r="X7"/>
      <c r="Y7"/>
      <c r="Z7" s="1" t="s">
        <v>73</v>
      </c>
      <c r="AA7" s="1" t="s">
        <v>73</v>
      </c>
      <c r="AB7"/>
      <c r="AC7"/>
      <c r="AD7"/>
      <c r="AE7"/>
      <c r="AF7"/>
      <c r="AG7"/>
      <c r="AH7"/>
      <c r="AI7"/>
      <c r="AJ7"/>
      <c r="AK7" s="1" t="s">
        <v>73</v>
      </c>
      <c r="AL7" s="1" t="s">
        <v>72</v>
      </c>
      <c r="AM7" s="171">
        <v>6</v>
      </c>
      <c r="AN7" s="1" t="s">
        <v>72</v>
      </c>
      <c r="AO7">
        <v>6</v>
      </c>
      <c r="AP7" s="1" t="s">
        <v>73</v>
      </c>
      <c r="AQ7" s="171"/>
      <c r="AR7" s="1" t="s">
        <v>72</v>
      </c>
      <c r="AS7">
        <v>6</v>
      </c>
      <c r="AT7" s="169" t="s">
        <v>72</v>
      </c>
      <c r="AU7" s="1">
        <v>4</v>
      </c>
      <c r="AW7" s="1">
        <v>46</v>
      </c>
      <c r="AX7" s="1">
        <v>18</v>
      </c>
      <c r="AY7" t="s">
        <v>73</v>
      </c>
      <c r="AZ7" t="s">
        <v>73</v>
      </c>
      <c r="BA7" s="61" t="s">
        <v>243</v>
      </c>
      <c r="BB7" s="168">
        <v>1885</v>
      </c>
      <c r="BC7" s="87">
        <v>45647.553773148145</v>
      </c>
      <c r="BD7" s="87">
        <v>45647.512106481481</v>
      </c>
      <c r="BE7" t="s">
        <v>73</v>
      </c>
      <c r="BF7" t="s">
        <v>73</v>
      </c>
      <c r="BG7" t="s">
        <v>73</v>
      </c>
      <c r="BH7" t="s">
        <v>73</v>
      </c>
      <c r="BI7" t="s">
        <v>73</v>
      </c>
      <c r="BJ7" t="s">
        <v>73</v>
      </c>
      <c r="BK7" s="168"/>
      <c r="BL7" t="s">
        <v>73</v>
      </c>
      <c r="BM7" t="s">
        <v>73</v>
      </c>
      <c r="BN7" t="s">
        <v>73</v>
      </c>
      <c r="BO7" t="s">
        <v>73</v>
      </c>
      <c r="BP7" t="s">
        <v>73</v>
      </c>
      <c r="BQ7" s="1" t="s">
        <v>73</v>
      </c>
      <c r="BS7" s="1" t="s">
        <v>73</v>
      </c>
      <c r="BT7" s="1" t="s">
        <v>73</v>
      </c>
      <c r="BU7" s="1" t="s">
        <v>73</v>
      </c>
      <c r="BV7" s="1" t="s">
        <v>73</v>
      </c>
      <c r="BX7" s="1"/>
      <c r="CF7"/>
      <c r="CG7"/>
      <c r="CH7"/>
      <c r="CI7"/>
      <c r="CJ7"/>
      <c r="CK7"/>
      <c r="CL7"/>
      <c r="CM7"/>
      <c r="CN7"/>
      <c r="CO7"/>
      <c r="CP7"/>
      <c r="CQ7"/>
      <c r="CR7"/>
      <c r="CS7"/>
      <c r="CT7"/>
    </row>
    <row r="8" spans="1:101" ht="16" x14ac:dyDescent="0.2">
      <c r="A8" s="168" t="s">
        <v>135</v>
      </c>
      <c r="B8" s="168" t="s">
        <v>244</v>
      </c>
      <c r="C8" t="s">
        <v>245</v>
      </c>
      <c r="D8" s="1" t="s">
        <v>73</v>
      </c>
      <c r="E8" s="1" t="s">
        <v>72</v>
      </c>
      <c r="F8" s="1" t="s">
        <v>72</v>
      </c>
      <c r="G8" s="1" t="s">
        <v>73</v>
      </c>
      <c r="I8" s="169">
        <v>7</v>
      </c>
      <c r="J8"/>
      <c r="K8"/>
      <c r="M8"/>
      <c r="N8" s="169"/>
      <c r="O8" s="169"/>
      <c r="P8" s="169"/>
      <c r="Q8" s="1" t="s">
        <v>73</v>
      </c>
      <c r="R8" s="1" t="s">
        <v>73</v>
      </c>
      <c r="S8" s="1" t="s">
        <v>73</v>
      </c>
      <c r="T8">
        <v>2</v>
      </c>
      <c r="U8"/>
      <c r="V8"/>
      <c r="W8">
        <v>2</v>
      </c>
      <c r="X8"/>
      <c r="Y8"/>
      <c r="Z8" s="1" t="s">
        <v>72</v>
      </c>
      <c r="AA8" s="1" t="s">
        <v>73</v>
      </c>
      <c r="AB8"/>
      <c r="AC8">
        <v>2</v>
      </c>
      <c r="AD8"/>
      <c r="AE8"/>
      <c r="AF8"/>
      <c r="AG8">
        <v>2</v>
      </c>
      <c r="AH8"/>
      <c r="AI8"/>
      <c r="AJ8"/>
      <c r="AK8" s="1" t="s">
        <v>73</v>
      </c>
      <c r="AL8" s="1" t="s">
        <v>72</v>
      </c>
      <c r="AM8" s="171">
        <v>6</v>
      </c>
      <c r="AN8" s="1" t="s">
        <v>72</v>
      </c>
      <c r="AO8">
        <v>6</v>
      </c>
      <c r="AP8" s="1" t="s">
        <v>73</v>
      </c>
      <c r="AQ8" s="171"/>
      <c r="AR8" s="1" t="s">
        <v>72</v>
      </c>
      <c r="AS8">
        <v>6</v>
      </c>
      <c r="AT8" s="169" t="s">
        <v>72</v>
      </c>
      <c r="AU8" s="1">
        <v>1</v>
      </c>
      <c r="AW8" s="1">
        <v>75</v>
      </c>
      <c r="AX8" s="1">
        <v>5</v>
      </c>
      <c r="AY8" t="s">
        <v>73</v>
      </c>
      <c r="AZ8" t="s">
        <v>73</v>
      </c>
      <c r="BA8" s="61" t="s">
        <v>73</v>
      </c>
      <c r="BB8" s="168">
        <v>1880</v>
      </c>
      <c r="BC8" s="87">
        <v>45647.421400462961</v>
      </c>
      <c r="BD8" s="87">
        <v>45647.441203703704</v>
      </c>
      <c r="BE8" t="s">
        <v>245</v>
      </c>
      <c r="BF8" t="s">
        <v>78</v>
      </c>
      <c r="BG8" t="s">
        <v>215</v>
      </c>
      <c r="BH8" t="s">
        <v>162</v>
      </c>
      <c r="BI8" t="s">
        <v>246</v>
      </c>
      <c r="BJ8" t="s">
        <v>246</v>
      </c>
      <c r="BK8" s="168">
        <v>35</v>
      </c>
      <c r="BL8" t="s">
        <v>73</v>
      </c>
      <c r="BM8" t="s">
        <v>73</v>
      </c>
      <c r="BN8" t="s">
        <v>73</v>
      </c>
      <c r="BO8" t="s">
        <v>73</v>
      </c>
      <c r="BP8" t="s">
        <v>73</v>
      </c>
      <c r="BQ8" s="1" t="s">
        <v>73</v>
      </c>
      <c r="BS8" s="1" t="s">
        <v>73</v>
      </c>
      <c r="BT8" s="1" t="s">
        <v>73</v>
      </c>
      <c r="BU8" s="1" t="s">
        <v>73</v>
      </c>
      <c r="BV8" s="1" t="s">
        <v>73</v>
      </c>
      <c r="CF8"/>
      <c r="CG8"/>
      <c r="CH8"/>
      <c r="CI8"/>
      <c r="CJ8"/>
      <c r="CK8"/>
      <c r="CL8"/>
      <c r="CM8"/>
      <c r="CN8"/>
      <c r="CO8"/>
      <c r="CP8"/>
      <c r="CQ8"/>
      <c r="CR8"/>
      <c r="CS8"/>
      <c r="CT8"/>
    </row>
    <row r="9" spans="1:101" ht="16" x14ac:dyDescent="0.2">
      <c r="A9" s="168" t="s">
        <v>135</v>
      </c>
      <c r="B9" s="168" t="s">
        <v>237</v>
      </c>
      <c r="C9" t="s">
        <v>238</v>
      </c>
      <c r="D9" s="1" t="s">
        <v>73</v>
      </c>
      <c r="E9" s="1" t="s">
        <v>72</v>
      </c>
      <c r="F9" s="1" t="s">
        <v>72</v>
      </c>
      <c r="G9" s="1" t="s">
        <v>73</v>
      </c>
      <c r="I9" s="169">
        <v>4</v>
      </c>
      <c r="J9"/>
      <c r="K9"/>
      <c r="M9"/>
      <c r="N9" s="169"/>
      <c r="O9" s="169"/>
      <c r="P9" s="169"/>
      <c r="Q9" s="1" t="s">
        <v>73</v>
      </c>
      <c r="R9" s="1" t="s">
        <v>73</v>
      </c>
      <c r="S9" s="1" t="s">
        <v>73</v>
      </c>
      <c r="T9"/>
      <c r="U9"/>
      <c r="V9"/>
      <c r="W9"/>
      <c r="X9"/>
      <c r="Y9"/>
      <c r="Z9" s="1" t="s">
        <v>73</v>
      </c>
      <c r="AA9" s="1" t="s">
        <v>73</v>
      </c>
      <c r="AB9"/>
      <c r="AC9"/>
      <c r="AD9">
        <v>1</v>
      </c>
      <c r="AE9"/>
      <c r="AF9"/>
      <c r="AG9"/>
      <c r="AH9">
        <v>1</v>
      </c>
      <c r="AI9"/>
      <c r="AJ9"/>
      <c r="AK9" s="1" t="s">
        <v>73</v>
      </c>
      <c r="AL9" s="1" t="s">
        <v>72</v>
      </c>
      <c r="AM9" s="171">
        <v>6</v>
      </c>
      <c r="AN9" s="1" t="s">
        <v>72</v>
      </c>
      <c r="AO9">
        <v>6</v>
      </c>
      <c r="AP9" s="1" t="s">
        <v>72</v>
      </c>
      <c r="AQ9" s="171">
        <v>6</v>
      </c>
      <c r="AR9" s="1" t="s">
        <v>72</v>
      </c>
      <c r="AS9">
        <v>6</v>
      </c>
      <c r="AT9" s="169" t="s">
        <v>73</v>
      </c>
      <c r="AW9" s="1">
        <v>6</v>
      </c>
      <c r="AX9" s="1">
        <v>0</v>
      </c>
      <c r="AY9" t="s">
        <v>73</v>
      </c>
      <c r="AZ9" t="s">
        <v>73</v>
      </c>
      <c r="BA9" s="61" t="s">
        <v>73</v>
      </c>
      <c r="BB9" s="168">
        <v>1869</v>
      </c>
      <c r="BC9" s="87">
        <v>45645.398530092592</v>
      </c>
      <c r="BD9" s="87">
        <v>45645.356863425928</v>
      </c>
      <c r="BE9" t="s">
        <v>73</v>
      </c>
      <c r="BF9" t="s">
        <v>73</v>
      </c>
      <c r="BG9" t="s">
        <v>73</v>
      </c>
      <c r="BH9" t="s">
        <v>73</v>
      </c>
      <c r="BI9" t="s">
        <v>73</v>
      </c>
      <c r="BJ9" t="s">
        <v>73</v>
      </c>
      <c r="BK9" s="168"/>
      <c r="BL9" t="s">
        <v>73</v>
      </c>
      <c r="BM9" t="s">
        <v>73</v>
      </c>
      <c r="BN9" t="s">
        <v>73</v>
      </c>
      <c r="BO9" t="s">
        <v>73</v>
      </c>
      <c r="BP9" t="s">
        <v>73</v>
      </c>
      <c r="BQ9" s="1" t="s">
        <v>73</v>
      </c>
      <c r="BS9" s="1" t="s">
        <v>73</v>
      </c>
      <c r="BT9" s="1" t="s">
        <v>73</v>
      </c>
      <c r="BU9" s="1" t="s">
        <v>73</v>
      </c>
      <c r="BV9" s="1" t="s">
        <v>73</v>
      </c>
      <c r="CB9" s="1"/>
      <c r="CC9" s="1"/>
      <c r="CF9"/>
      <c r="CG9"/>
      <c r="CH9"/>
      <c r="CI9"/>
      <c r="CJ9"/>
      <c r="CK9"/>
      <c r="CL9"/>
      <c r="CM9"/>
      <c r="CN9"/>
      <c r="CO9"/>
      <c r="CP9"/>
      <c r="CQ9"/>
      <c r="CR9"/>
      <c r="CS9"/>
      <c r="CT9"/>
    </row>
    <row r="10" spans="1:101" ht="16" x14ac:dyDescent="0.2">
      <c r="A10" s="168" t="s">
        <v>135</v>
      </c>
      <c r="B10" s="168" t="s">
        <v>228</v>
      </c>
      <c r="C10" t="s">
        <v>229</v>
      </c>
      <c r="D10" s="1" t="s">
        <v>73</v>
      </c>
      <c r="E10" s="1" t="s">
        <v>72</v>
      </c>
      <c r="F10" s="1" t="s">
        <v>72</v>
      </c>
      <c r="G10" s="1" t="s">
        <v>73</v>
      </c>
      <c r="I10" s="169">
        <v>6</v>
      </c>
      <c r="J10"/>
      <c r="K10"/>
      <c r="M10"/>
      <c r="N10" s="169"/>
      <c r="O10" s="169"/>
      <c r="P10" s="169"/>
      <c r="Q10" s="1" t="s">
        <v>73</v>
      </c>
      <c r="R10" s="1" t="s">
        <v>73</v>
      </c>
      <c r="S10" s="1" t="s">
        <v>73</v>
      </c>
      <c r="T10"/>
      <c r="U10"/>
      <c r="V10"/>
      <c r="W10"/>
      <c r="X10"/>
      <c r="Y10"/>
      <c r="Z10" s="1" t="s">
        <v>73</v>
      </c>
      <c r="AA10" s="1" t="s">
        <v>73</v>
      </c>
      <c r="AB10"/>
      <c r="AC10">
        <v>5</v>
      </c>
      <c r="AD10"/>
      <c r="AE10"/>
      <c r="AF10"/>
      <c r="AG10">
        <v>5</v>
      </c>
      <c r="AH10"/>
      <c r="AI10"/>
      <c r="AJ10"/>
      <c r="AK10" s="1" t="s">
        <v>73</v>
      </c>
      <c r="AL10" s="1" t="s">
        <v>72</v>
      </c>
      <c r="AM10" s="171">
        <v>4</v>
      </c>
      <c r="AN10" s="1" t="s">
        <v>72</v>
      </c>
      <c r="AO10">
        <v>4</v>
      </c>
      <c r="AP10" s="1" t="s">
        <v>73</v>
      </c>
      <c r="AQ10" s="171"/>
      <c r="AR10" s="1" t="s">
        <v>73</v>
      </c>
      <c r="AT10" s="169" t="s">
        <v>73</v>
      </c>
      <c r="AW10" s="1">
        <v>50</v>
      </c>
      <c r="AX10" s="1">
        <v>15</v>
      </c>
      <c r="AY10" t="s">
        <v>73</v>
      </c>
      <c r="AZ10" t="s">
        <v>73</v>
      </c>
      <c r="BA10" s="61" t="s">
        <v>73</v>
      </c>
      <c r="BB10" s="168">
        <v>1867</v>
      </c>
      <c r="BC10" s="87">
        <v>45644.860902777778</v>
      </c>
      <c r="BD10" s="87">
        <v>45644.819236111114</v>
      </c>
      <c r="BE10" t="s">
        <v>73</v>
      </c>
      <c r="BF10" t="s">
        <v>73</v>
      </c>
      <c r="BG10" t="s">
        <v>73</v>
      </c>
      <c r="BH10" t="s">
        <v>73</v>
      </c>
      <c r="BI10" t="s">
        <v>73</v>
      </c>
      <c r="BJ10" t="s">
        <v>73</v>
      </c>
      <c r="BK10" s="168"/>
      <c r="BL10" t="s">
        <v>73</v>
      </c>
      <c r="BM10" t="s">
        <v>73</v>
      </c>
      <c r="BN10" t="s">
        <v>73</v>
      </c>
      <c r="BO10" t="s">
        <v>73</v>
      </c>
      <c r="BP10" t="s">
        <v>73</v>
      </c>
      <c r="BQ10" s="1" t="s">
        <v>73</v>
      </c>
      <c r="BS10" s="1" t="s">
        <v>73</v>
      </c>
      <c r="BT10" s="1" t="s">
        <v>73</v>
      </c>
      <c r="BU10" s="1" t="s">
        <v>73</v>
      </c>
      <c r="BV10" s="1" t="s">
        <v>73</v>
      </c>
      <c r="CB10" s="1"/>
      <c r="CC10" s="1"/>
      <c r="CF10"/>
      <c r="CG10"/>
      <c r="CH10"/>
      <c r="CI10"/>
      <c r="CJ10"/>
      <c r="CK10"/>
      <c r="CL10"/>
      <c r="CM10"/>
      <c r="CN10"/>
      <c r="CO10"/>
      <c r="CP10"/>
      <c r="CQ10"/>
      <c r="CR10"/>
      <c r="CS10"/>
      <c r="CT10"/>
    </row>
    <row r="11" spans="1:101" ht="16" x14ac:dyDescent="0.2">
      <c r="A11" s="168" t="s">
        <v>135</v>
      </c>
      <c r="B11" s="168" t="s">
        <v>226</v>
      </c>
      <c r="C11" t="s">
        <v>227</v>
      </c>
      <c r="D11" s="1" t="s">
        <v>73</v>
      </c>
      <c r="E11" s="1" t="s">
        <v>72</v>
      </c>
      <c r="F11" s="1" t="s">
        <v>72</v>
      </c>
      <c r="G11" s="1" t="s">
        <v>73</v>
      </c>
      <c r="I11" s="169">
        <v>5</v>
      </c>
      <c r="J11"/>
      <c r="K11"/>
      <c r="M11"/>
      <c r="N11" s="169"/>
      <c r="O11" s="169"/>
      <c r="P11" s="169"/>
      <c r="Q11" s="1" t="s">
        <v>73</v>
      </c>
      <c r="R11" s="1" t="s">
        <v>73</v>
      </c>
      <c r="S11" s="1" t="s">
        <v>73</v>
      </c>
      <c r="T11"/>
      <c r="U11"/>
      <c r="V11"/>
      <c r="W11"/>
      <c r="X11"/>
      <c r="Y11"/>
      <c r="Z11" s="1" t="s">
        <v>73</v>
      </c>
      <c r="AA11" s="1" t="s">
        <v>73</v>
      </c>
      <c r="AB11"/>
      <c r="AC11"/>
      <c r="AD11"/>
      <c r="AE11"/>
      <c r="AF11"/>
      <c r="AG11"/>
      <c r="AH11"/>
      <c r="AI11"/>
      <c r="AJ11"/>
      <c r="AK11" s="1" t="s">
        <v>72</v>
      </c>
      <c r="AL11" s="1" t="s">
        <v>72</v>
      </c>
      <c r="AM11" s="171">
        <v>5</v>
      </c>
      <c r="AN11" s="1" t="s">
        <v>72</v>
      </c>
      <c r="AO11">
        <v>5</v>
      </c>
      <c r="AP11" s="1" t="s">
        <v>73</v>
      </c>
      <c r="AQ11" s="171"/>
      <c r="AR11" s="1" t="s">
        <v>72</v>
      </c>
      <c r="AS11">
        <v>5</v>
      </c>
      <c r="AT11" s="169" t="s">
        <v>73</v>
      </c>
      <c r="AW11" s="1">
        <v>40</v>
      </c>
      <c r="AX11" s="1">
        <v>1</v>
      </c>
      <c r="AY11" t="s">
        <v>73</v>
      </c>
      <c r="AZ11" t="s">
        <v>73</v>
      </c>
      <c r="BA11" s="61" t="s">
        <v>73</v>
      </c>
      <c r="BB11" s="168">
        <v>1864</v>
      </c>
      <c r="BC11" s="87">
        <v>45644.82234953704</v>
      </c>
      <c r="BD11" s="87">
        <v>45644.780682870369</v>
      </c>
      <c r="BE11" t="s">
        <v>73</v>
      </c>
      <c r="BF11" t="s">
        <v>73</v>
      </c>
      <c r="BG11" t="s">
        <v>73</v>
      </c>
      <c r="BH11" t="s">
        <v>73</v>
      </c>
      <c r="BI11" t="s">
        <v>73</v>
      </c>
      <c r="BJ11" t="s">
        <v>73</v>
      </c>
      <c r="BK11" s="168"/>
      <c r="BL11" t="s">
        <v>73</v>
      </c>
      <c r="BM11" t="s">
        <v>73</v>
      </c>
      <c r="BN11" t="s">
        <v>73</v>
      </c>
      <c r="BO11" t="s">
        <v>73</v>
      </c>
      <c r="BP11" t="s">
        <v>73</v>
      </c>
      <c r="BQ11" s="1" t="s">
        <v>73</v>
      </c>
      <c r="BS11" s="1" t="s">
        <v>73</v>
      </c>
      <c r="BT11" s="1" t="s">
        <v>73</v>
      </c>
      <c r="BU11" s="1" t="s">
        <v>73</v>
      </c>
      <c r="BV11" s="1" t="s">
        <v>73</v>
      </c>
      <c r="CF11"/>
      <c r="CG11"/>
      <c r="CH11"/>
      <c r="CI11"/>
      <c r="CJ11"/>
      <c r="CK11"/>
      <c r="CL11"/>
      <c r="CM11"/>
      <c r="CN11"/>
      <c r="CO11"/>
      <c r="CP11"/>
      <c r="CQ11"/>
      <c r="CR11"/>
      <c r="CS11"/>
      <c r="CT11"/>
    </row>
    <row r="12" spans="1:101" ht="16" x14ac:dyDescent="0.2">
      <c r="A12" s="168" t="s">
        <v>135</v>
      </c>
      <c r="B12" s="168" t="s">
        <v>205</v>
      </c>
      <c r="C12" t="s">
        <v>206</v>
      </c>
      <c r="D12" s="1" t="s">
        <v>73</v>
      </c>
      <c r="E12" s="1" t="s">
        <v>72</v>
      </c>
      <c r="F12" s="1" t="s">
        <v>73</v>
      </c>
      <c r="G12" s="1" t="s">
        <v>73</v>
      </c>
      <c r="I12" s="169">
        <v>6</v>
      </c>
      <c r="J12">
        <v>6</v>
      </c>
      <c r="K12"/>
      <c r="L12" s="1">
        <v>4</v>
      </c>
      <c r="M12"/>
      <c r="N12" s="169"/>
      <c r="O12" s="169"/>
      <c r="P12" s="169"/>
      <c r="Q12" s="1" t="s">
        <v>73</v>
      </c>
      <c r="R12" s="1" t="s">
        <v>73</v>
      </c>
      <c r="S12" s="1" t="s">
        <v>73</v>
      </c>
      <c r="T12"/>
      <c r="U12"/>
      <c r="V12"/>
      <c r="W12"/>
      <c r="X12"/>
      <c r="Y12"/>
      <c r="Z12" s="1" t="s">
        <v>73</v>
      </c>
      <c r="AA12" s="1" t="s">
        <v>73</v>
      </c>
      <c r="AB12"/>
      <c r="AC12"/>
      <c r="AD12"/>
      <c r="AE12"/>
      <c r="AF12"/>
      <c r="AG12"/>
      <c r="AH12"/>
      <c r="AI12"/>
      <c r="AJ12"/>
      <c r="AK12" s="1" t="s">
        <v>73</v>
      </c>
      <c r="AL12" s="1" t="s">
        <v>72</v>
      </c>
      <c r="AM12" s="171">
        <v>6</v>
      </c>
      <c r="AN12" s="1" t="s">
        <v>72</v>
      </c>
      <c r="AO12">
        <v>6</v>
      </c>
      <c r="AP12" s="1" t="s">
        <v>73</v>
      </c>
      <c r="AQ12" s="171"/>
      <c r="AR12" s="1" t="s">
        <v>72</v>
      </c>
      <c r="AS12">
        <v>6</v>
      </c>
      <c r="AT12" s="169" t="s">
        <v>72</v>
      </c>
      <c r="AU12" s="1">
        <v>2</v>
      </c>
      <c r="AW12" s="1">
        <v>100</v>
      </c>
      <c r="AX12" s="1">
        <v>8</v>
      </c>
      <c r="AY12" t="s">
        <v>72</v>
      </c>
      <c r="AZ12" t="s">
        <v>73</v>
      </c>
      <c r="BA12" s="61" t="s">
        <v>73</v>
      </c>
      <c r="BB12" s="168">
        <v>1859</v>
      </c>
      <c r="BC12" s="87">
        <v>45644.468113425923</v>
      </c>
      <c r="BD12" s="87">
        <v>45644.426446759258</v>
      </c>
      <c r="BE12" t="s">
        <v>73</v>
      </c>
      <c r="BF12" t="s">
        <v>73</v>
      </c>
      <c r="BG12" t="s">
        <v>73</v>
      </c>
      <c r="BH12" t="s">
        <v>73</v>
      </c>
      <c r="BI12" t="s">
        <v>73</v>
      </c>
      <c r="BJ12" t="s">
        <v>73</v>
      </c>
      <c r="BK12" s="168"/>
      <c r="BL12" t="s">
        <v>73</v>
      </c>
      <c r="BM12" t="s">
        <v>73</v>
      </c>
      <c r="BN12" t="s">
        <v>73</v>
      </c>
      <c r="BO12" t="s">
        <v>73</v>
      </c>
      <c r="BP12" t="s">
        <v>73</v>
      </c>
      <c r="BQ12" s="1" t="s">
        <v>73</v>
      </c>
      <c r="BS12" s="1" t="s">
        <v>73</v>
      </c>
      <c r="BT12" s="1" t="s">
        <v>73</v>
      </c>
      <c r="BU12" s="1" t="s">
        <v>73</v>
      </c>
      <c r="BV12" s="1" t="s">
        <v>73</v>
      </c>
      <c r="CB12" s="1"/>
      <c r="CC12" s="1"/>
      <c r="CF12"/>
      <c r="CG12"/>
      <c r="CH12"/>
      <c r="CI12"/>
      <c r="CJ12"/>
      <c r="CK12"/>
      <c r="CL12"/>
      <c r="CM12"/>
      <c r="CN12"/>
      <c r="CO12"/>
      <c r="CP12"/>
      <c r="CQ12"/>
      <c r="CR12"/>
      <c r="CS12"/>
      <c r="CT12"/>
    </row>
    <row r="13" spans="1:101" ht="16" x14ac:dyDescent="0.2">
      <c r="A13" s="168" t="s">
        <v>135</v>
      </c>
      <c r="B13" s="168" t="s">
        <v>212</v>
      </c>
      <c r="C13" t="s">
        <v>213</v>
      </c>
      <c r="D13" s="1" t="s">
        <v>73</v>
      </c>
      <c r="E13" s="1" t="s">
        <v>72</v>
      </c>
      <c r="F13" s="1" t="s">
        <v>72</v>
      </c>
      <c r="G13" s="1" t="s">
        <v>73</v>
      </c>
      <c r="I13" s="169">
        <v>6</v>
      </c>
      <c r="J13"/>
      <c r="K13"/>
      <c r="M13"/>
      <c r="N13" s="169"/>
      <c r="O13" s="169"/>
      <c r="P13" s="169"/>
      <c r="Q13" s="1" t="s">
        <v>73</v>
      </c>
      <c r="R13" s="1" t="s">
        <v>73</v>
      </c>
      <c r="S13" s="1" t="s">
        <v>73</v>
      </c>
      <c r="T13"/>
      <c r="U13"/>
      <c r="V13"/>
      <c r="W13"/>
      <c r="X13"/>
      <c r="Y13"/>
      <c r="Z13" s="1" t="s">
        <v>73</v>
      </c>
      <c r="AA13" s="1" t="s">
        <v>73</v>
      </c>
      <c r="AB13"/>
      <c r="AC13"/>
      <c r="AD13"/>
      <c r="AE13"/>
      <c r="AF13"/>
      <c r="AG13"/>
      <c r="AH13"/>
      <c r="AI13"/>
      <c r="AJ13"/>
      <c r="AK13" s="1" t="s">
        <v>73</v>
      </c>
      <c r="AL13" s="1" t="s">
        <v>72</v>
      </c>
      <c r="AM13" s="171">
        <v>6</v>
      </c>
      <c r="AN13" s="1" t="s">
        <v>72</v>
      </c>
      <c r="AO13">
        <v>6</v>
      </c>
      <c r="AP13" s="1" t="s">
        <v>73</v>
      </c>
      <c r="AQ13" s="171"/>
      <c r="AR13" s="1" t="s">
        <v>72</v>
      </c>
      <c r="AS13">
        <v>6</v>
      </c>
      <c r="AT13" s="169" t="s">
        <v>73</v>
      </c>
      <c r="AW13" s="1">
        <v>40</v>
      </c>
      <c r="AX13" s="1">
        <v>2</v>
      </c>
      <c r="AY13" t="s">
        <v>72</v>
      </c>
      <c r="AZ13" t="s">
        <v>73</v>
      </c>
      <c r="BA13" s="61" t="s">
        <v>73</v>
      </c>
      <c r="BB13" s="168">
        <v>1857</v>
      </c>
      <c r="BC13" s="87">
        <v>45643.901631944442</v>
      </c>
      <c r="BD13" s="87">
        <v>45643.859965277778</v>
      </c>
      <c r="BE13" t="s">
        <v>73</v>
      </c>
      <c r="BF13" t="s">
        <v>73</v>
      </c>
      <c r="BG13" t="s">
        <v>73</v>
      </c>
      <c r="BH13" t="s">
        <v>73</v>
      </c>
      <c r="BI13" t="s">
        <v>73</v>
      </c>
      <c r="BJ13" t="s">
        <v>73</v>
      </c>
      <c r="BK13" s="168"/>
      <c r="BL13" t="s">
        <v>73</v>
      </c>
      <c r="BM13" t="s">
        <v>73</v>
      </c>
      <c r="BN13" t="s">
        <v>73</v>
      </c>
      <c r="BO13" t="s">
        <v>73</v>
      </c>
      <c r="BP13" t="s">
        <v>73</v>
      </c>
      <c r="BQ13" s="1" t="s">
        <v>73</v>
      </c>
      <c r="BS13" s="1" t="s">
        <v>73</v>
      </c>
      <c r="BT13" s="1" t="s">
        <v>73</v>
      </c>
      <c r="BU13" s="1" t="s">
        <v>73</v>
      </c>
      <c r="BV13" s="1" t="s">
        <v>73</v>
      </c>
      <c r="CB13" s="1"/>
      <c r="CC13" s="1"/>
      <c r="CF13"/>
      <c r="CG13"/>
      <c r="CH13"/>
      <c r="CI13"/>
      <c r="CJ13"/>
      <c r="CK13"/>
      <c r="CL13"/>
      <c r="CM13"/>
      <c r="CN13"/>
      <c r="CO13"/>
      <c r="CP13"/>
      <c r="CQ13"/>
      <c r="CR13"/>
      <c r="CS13"/>
      <c r="CT13"/>
    </row>
    <row r="14" spans="1:101" ht="32" x14ac:dyDescent="0.2">
      <c r="A14" s="168" t="s">
        <v>135</v>
      </c>
      <c r="B14" s="168" t="s">
        <v>207</v>
      </c>
      <c r="C14" t="s">
        <v>236</v>
      </c>
      <c r="D14" s="1" t="s">
        <v>73</v>
      </c>
      <c r="E14" s="1" t="s">
        <v>72</v>
      </c>
      <c r="F14" s="1" t="s">
        <v>72</v>
      </c>
      <c r="G14" s="1" t="s">
        <v>73</v>
      </c>
      <c r="I14" s="169"/>
      <c r="J14"/>
      <c r="K14"/>
      <c r="M14"/>
      <c r="N14" s="169"/>
      <c r="O14" s="169"/>
      <c r="P14" s="169"/>
      <c r="Q14" s="1" t="s">
        <v>73</v>
      </c>
      <c r="R14" s="1" t="s">
        <v>73</v>
      </c>
      <c r="S14" s="1" t="s">
        <v>73</v>
      </c>
      <c r="T14"/>
      <c r="U14"/>
      <c r="V14"/>
      <c r="W14"/>
      <c r="X14"/>
      <c r="Y14"/>
      <c r="Z14" s="1" t="s">
        <v>73</v>
      </c>
      <c r="AA14" s="1" t="s">
        <v>73</v>
      </c>
      <c r="AB14"/>
      <c r="AC14"/>
      <c r="AD14"/>
      <c r="AE14"/>
      <c r="AF14"/>
      <c r="AG14"/>
      <c r="AH14"/>
      <c r="AI14"/>
      <c r="AJ14"/>
      <c r="AK14" s="1" t="s">
        <v>73</v>
      </c>
      <c r="AL14" s="1" t="s">
        <v>73</v>
      </c>
      <c r="AM14" s="171"/>
      <c r="AN14" s="1" t="s">
        <v>73</v>
      </c>
      <c r="AO14"/>
      <c r="AP14" s="1" t="s">
        <v>73</v>
      </c>
      <c r="AQ14" s="171"/>
      <c r="AR14" s="1" t="s">
        <v>73</v>
      </c>
      <c r="AT14" s="169" t="s">
        <v>73</v>
      </c>
      <c r="AW14" s="1">
        <v>76</v>
      </c>
      <c r="AX14" s="1">
        <v>21</v>
      </c>
      <c r="AY14" t="s">
        <v>73</v>
      </c>
      <c r="AZ14" t="s">
        <v>73</v>
      </c>
      <c r="BA14" s="61" t="s">
        <v>214</v>
      </c>
      <c r="BB14" s="168">
        <v>1855</v>
      </c>
      <c r="BC14" s="87">
        <v>45643.499814814815</v>
      </c>
      <c r="BD14" s="87">
        <v>45646.44494212963</v>
      </c>
      <c r="BE14" t="s">
        <v>73</v>
      </c>
      <c r="BF14" t="s">
        <v>73</v>
      </c>
      <c r="BG14" t="s">
        <v>73</v>
      </c>
      <c r="BH14" t="s">
        <v>73</v>
      </c>
      <c r="BI14" t="s">
        <v>73</v>
      </c>
      <c r="BJ14" t="s">
        <v>73</v>
      </c>
      <c r="BK14" s="168"/>
      <c r="BL14" t="s">
        <v>73</v>
      </c>
      <c r="BM14" t="s">
        <v>73</v>
      </c>
      <c r="BN14" t="s">
        <v>73</v>
      </c>
      <c r="BO14" t="s">
        <v>73</v>
      </c>
      <c r="BP14" t="s">
        <v>73</v>
      </c>
      <c r="BQ14" s="1" t="s">
        <v>73</v>
      </c>
      <c r="BS14" s="1" t="s">
        <v>73</v>
      </c>
      <c r="BT14" s="1" t="s">
        <v>73</v>
      </c>
      <c r="BU14" s="1" t="s">
        <v>73</v>
      </c>
      <c r="BV14" s="1" t="s">
        <v>73</v>
      </c>
      <c r="CB14" s="1"/>
      <c r="CC14" s="1"/>
      <c r="CF14"/>
      <c r="CG14"/>
      <c r="CH14"/>
      <c r="CI14"/>
      <c r="CJ14"/>
      <c r="CK14"/>
      <c r="CL14"/>
      <c r="CM14"/>
      <c r="CN14"/>
      <c r="CO14"/>
      <c r="CP14"/>
      <c r="CQ14"/>
      <c r="CR14"/>
      <c r="CS14"/>
      <c r="CT14"/>
    </row>
    <row r="15" spans="1:101" ht="96" x14ac:dyDescent="0.2">
      <c r="A15" s="168" t="s">
        <v>135</v>
      </c>
      <c r="B15" s="168" t="s">
        <v>175</v>
      </c>
      <c r="C15" t="s">
        <v>155</v>
      </c>
      <c r="D15" s="1" t="s">
        <v>73</v>
      </c>
      <c r="E15" s="1" t="s">
        <v>72</v>
      </c>
      <c r="F15" s="1" t="s">
        <v>73</v>
      </c>
      <c r="G15" s="1" t="s">
        <v>73</v>
      </c>
      <c r="I15" s="169">
        <v>8</v>
      </c>
      <c r="J15"/>
      <c r="K15"/>
      <c r="M15"/>
      <c r="N15" s="169"/>
      <c r="O15" s="169"/>
      <c r="P15" s="169"/>
      <c r="Q15" s="1" t="s">
        <v>73</v>
      </c>
      <c r="R15" s="1" t="s">
        <v>73</v>
      </c>
      <c r="S15" s="1" t="s">
        <v>73</v>
      </c>
      <c r="T15"/>
      <c r="U15"/>
      <c r="V15"/>
      <c r="W15"/>
      <c r="X15"/>
      <c r="Y15"/>
      <c r="Z15" s="1" t="s">
        <v>73</v>
      </c>
      <c r="AA15" s="1" t="s">
        <v>73</v>
      </c>
      <c r="AB15"/>
      <c r="AC15"/>
      <c r="AD15"/>
      <c r="AE15"/>
      <c r="AF15"/>
      <c r="AG15"/>
      <c r="AH15"/>
      <c r="AI15"/>
      <c r="AJ15"/>
      <c r="AK15" s="1" t="s">
        <v>73</v>
      </c>
      <c r="AL15" s="1" t="s">
        <v>73</v>
      </c>
      <c r="AM15" s="171"/>
      <c r="AN15" s="1" t="s">
        <v>73</v>
      </c>
      <c r="AO15"/>
      <c r="AP15" s="1" t="s">
        <v>73</v>
      </c>
      <c r="AQ15" s="171"/>
      <c r="AR15" s="1" t="s">
        <v>73</v>
      </c>
      <c r="AT15" s="169" t="s">
        <v>73</v>
      </c>
      <c r="AW15" s="1">
        <v>12</v>
      </c>
      <c r="AX15" s="1">
        <v>0</v>
      </c>
      <c r="AY15" t="s">
        <v>73</v>
      </c>
      <c r="AZ15" t="s">
        <v>73</v>
      </c>
      <c r="BA15" s="61" t="s">
        <v>156</v>
      </c>
      <c r="BB15" s="168">
        <v>1821</v>
      </c>
      <c r="BC15" s="87">
        <v>45635.785624999997</v>
      </c>
      <c r="BD15" s="87">
        <v>45635.750081018516</v>
      </c>
      <c r="BE15" t="s">
        <v>73</v>
      </c>
      <c r="BF15" t="s">
        <v>73</v>
      </c>
      <c r="BG15" t="s">
        <v>73</v>
      </c>
      <c r="BH15" t="s">
        <v>73</v>
      </c>
      <c r="BI15" t="s">
        <v>73</v>
      </c>
      <c r="BJ15" t="s">
        <v>73</v>
      </c>
      <c r="BK15" s="168"/>
      <c r="BL15" t="s">
        <v>73</v>
      </c>
      <c r="BM15" t="s">
        <v>73</v>
      </c>
      <c r="BN15" t="s">
        <v>73</v>
      </c>
      <c r="BO15" t="s">
        <v>73</v>
      </c>
      <c r="BP15" t="s">
        <v>73</v>
      </c>
      <c r="BQ15" s="1" t="s">
        <v>73</v>
      </c>
      <c r="BS15" s="1" t="s">
        <v>73</v>
      </c>
      <c r="BT15" s="1" t="s">
        <v>73</v>
      </c>
      <c r="BU15" s="1" t="s">
        <v>73</v>
      </c>
      <c r="BV15" s="1" t="s">
        <v>73</v>
      </c>
      <c r="CB15" s="1"/>
      <c r="CC15" s="1"/>
      <c r="CF15"/>
      <c r="CG15"/>
      <c r="CH15"/>
      <c r="CI15"/>
      <c r="CJ15"/>
      <c r="CK15"/>
      <c r="CL15"/>
      <c r="CM15"/>
      <c r="CN15"/>
      <c r="CO15"/>
      <c r="CP15"/>
      <c r="CQ15"/>
      <c r="CR15"/>
      <c r="CS15"/>
      <c r="CT15"/>
    </row>
    <row r="16" spans="1:101" ht="16" x14ac:dyDescent="0.2">
      <c r="A16" s="168" t="s">
        <v>135</v>
      </c>
      <c r="B16" s="168" t="s">
        <v>176</v>
      </c>
      <c r="C16" t="s">
        <v>149</v>
      </c>
      <c r="D16" s="1" t="s">
        <v>73</v>
      </c>
      <c r="E16" s="1" t="s">
        <v>72</v>
      </c>
      <c r="F16" s="1" t="s">
        <v>73</v>
      </c>
      <c r="G16" s="1" t="s">
        <v>73</v>
      </c>
      <c r="I16" s="169">
        <v>6</v>
      </c>
      <c r="J16"/>
      <c r="K16"/>
      <c r="M16"/>
      <c r="N16" s="169"/>
      <c r="O16" s="169"/>
      <c r="P16" s="169"/>
      <c r="Q16" s="1" t="s">
        <v>73</v>
      </c>
      <c r="R16" s="1" t="s">
        <v>73</v>
      </c>
      <c r="S16" s="1" t="s">
        <v>73</v>
      </c>
      <c r="T16"/>
      <c r="U16"/>
      <c r="V16"/>
      <c r="W16"/>
      <c r="X16"/>
      <c r="Y16"/>
      <c r="Z16" s="1" t="s">
        <v>73</v>
      </c>
      <c r="AA16" s="1" t="s">
        <v>73</v>
      </c>
      <c r="AB16"/>
      <c r="AC16"/>
      <c r="AD16"/>
      <c r="AE16"/>
      <c r="AF16"/>
      <c r="AG16"/>
      <c r="AH16"/>
      <c r="AI16"/>
      <c r="AJ16"/>
      <c r="AK16" s="1" t="s">
        <v>73</v>
      </c>
      <c r="AL16" s="1" t="s">
        <v>72</v>
      </c>
      <c r="AM16" s="171">
        <v>4</v>
      </c>
      <c r="AN16" s="1" t="s">
        <v>73</v>
      </c>
      <c r="AO16"/>
      <c r="AP16" s="1" t="s">
        <v>73</v>
      </c>
      <c r="AQ16" s="171"/>
      <c r="AR16" s="1" t="s">
        <v>73</v>
      </c>
      <c r="AT16" s="169" t="s">
        <v>73</v>
      </c>
      <c r="AW16" s="1">
        <v>35</v>
      </c>
      <c r="AX16" s="1">
        <v>2</v>
      </c>
      <c r="AY16" t="s">
        <v>73</v>
      </c>
      <c r="AZ16" t="s">
        <v>73</v>
      </c>
      <c r="BA16" s="61" t="s">
        <v>73</v>
      </c>
      <c r="BB16" s="168">
        <v>1815</v>
      </c>
      <c r="BC16" s="87">
        <v>45634.680821759262</v>
      </c>
      <c r="BD16" s="87">
        <v>45634.639155092591</v>
      </c>
      <c r="BE16" t="s">
        <v>73</v>
      </c>
      <c r="BF16" t="s">
        <v>73</v>
      </c>
      <c r="BG16" t="s">
        <v>73</v>
      </c>
      <c r="BH16" t="s">
        <v>73</v>
      </c>
      <c r="BI16" t="s">
        <v>73</v>
      </c>
      <c r="BJ16" t="s">
        <v>73</v>
      </c>
      <c r="BK16" s="168"/>
      <c r="BL16" t="s">
        <v>73</v>
      </c>
      <c r="BM16" t="s">
        <v>73</v>
      </c>
      <c r="BN16" t="s">
        <v>73</v>
      </c>
      <c r="BO16" t="s">
        <v>73</v>
      </c>
      <c r="BP16" t="s">
        <v>73</v>
      </c>
      <c r="BQ16" s="1" t="s">
        <v>73</v>
      </c>
      <c r="BS16" s="1" t="s">
        <v>73</v>
      </c>
      <c r="BT16" s="1" t="s">
        <v>73</v>
      </c>
      <c r="BU16" s="1" t="s">
        <v>73</v>
      </c>
      <c r="BV16" s="1" t="s">
        <v>73</v>
      </c>
      <c r="CB16" s="1"/>
      <c r="CC16" s="1"/>
      <c r="CF16"/>
      <c r="CG16"/>
      <c r="CH16"/>
      <c r="CI16"/>
      <c r="CJ16"/>
      <c r="CK16"/>
      <c r="CL16"/>
      <c r="CM16"/>
      <c r="CN16"/>
      <c r="CO16"/>
      <c r="CP16"/>
      <c r="CQ16"/>
      <c r="CR16"/>
      <c r="CS16"/>
      <c r="CT16"/>
    </row>
    <row r="17" spans="1:98" ht="16" x14ac:dyDescent="0.2">
      <c r="A17" s="168" t="s">
        <v>135</v>
      </c>
      <c r="B17" s="168" t="s">
        <v>177</v>
      </c>
      <c r="C17" t="s">
        <v>148</v>
      </c>
      <c r="D17" s="1" t="s">
        <v>73</v>
      </c>
      <c r="E17" s="1" t="s">
        <v>72</v>
      </c>
      <c r="F17" s="1" t="s">
        <v>72</v>
      </c>
      <c r="G17" s="1" t="s">
        <v>73</v>
      </c>
      <c r="I17" s="169">
        <v>4</v>
      </c>
      <c r="J17"/>
      <c r="K17"/>
      <c r="L17" s="1">
        <v>3</v>
      </c>
      <c r="M17"/>
      <c r="N17" s="169"/>
      <c r="O17" s="169"/>
      <c r="P17" s="169"/>
      <c r="Q17" s="1" t="s">
        <v>73</v>
      </c>
      <c r="R17" s="1" t="s">
        <v>73</v>
      </c>
      <c r="S17" s="1" t="s">
        <v>73</v>
      </c>
      <c r="T17"/>
      <c r="U17"/>
      <c r="V17"/>
      <c r="W17"/>
      <c r="X17"/>
      <c r="Y17"/>
      <c r="Z17" s="1" t="s">
        <v>73</v>
      </c>
      <c r="AA17" s="1" t="s">
        <v>73</v>
      </c>
      <c r="AB17"/>
      <c r="AC17"/>
      <c r="AD17"/>
      <c r="AE17"/>
      <c r="AF17"/>
      <c r="AG17"/>
      <c r="AH17"/>
      <c r="AI17"/>
      <c r="AJ17"/>
      <c r="AK17" s="1" t="s">
        <v>73</v>
      </c>
      <c r="AL17" s="1" t="s">
        <v>72</v>
      </c>
      <c r="AM17" s="171">
        <v>4</v>
      </c>
      <c r="AN17" s="1" t="s">
        <v>72</v>
      </c>
      <c r="AO17">
        <v>4</v>
      </c>
      <c r="AP17" s="1" t="s">
        <v>73</v>
      </c>
      <c r="AQ17" s="171"/>
      <c r="AR17" s="1" t="s">
        <v>72</v>
      </c>
      <c r="AS17">
        <v>4</v>
      </c>
      <c r="AT17" s="169" t="s">
        <v>73</v>
      </c>
      <c r="AW17" s="1">
        <v>50</v>
      </c>
      <c r="AX17" s="1">
        <v>3</v>
      </c>
      <c r="AY17" t="s">
        <v>73</v>
      </c>
      <c r="AZ17" t="s">
        <v>73</v>
      </c>
      <c r="BA17" s="61" t="s">
        <v>73</v>
      </c>
      <c r="BB17" s="168">
        <v>1814</v>
      </c>
      <c r="BC17" s="87">
        <v>45631.918958333335</v>
      </c>
      <c r="BD17" s="87">
        <v>45631.877291666664</v>
      </c>
      <c r="BE17" t="s">
        <v>73</v>
      </c>
      <c r="BF17" t="s">
        <v>73</v>
      </c>
      <c r="BG17" t="s">
        <v>73</v>
      </c>
      <c r="BH17" t="s">
        <v>73</v>
      </c>
      <c r="BI17" t="s">
        <v>73</v>
      </c>
      <c r="BJ17" t="s">
        <v>73</v>
      </c>
      <c r="BK17" s="168"/>
      <c r="BL17" t="s">
        <v>73</v>
      </c>
      <c r="BM17" t="s">
        <v>73</v>
      </c>
      <c r="BN17" t="s">
        <v>73</v>
      </c>
      <c r="BO17" t="s">
        <v>73</v>
      </c>
      <c r="BP17" t="s">
        <v>73</v>
      </c>
      <c r="BQ17" s="1" t="s">
        <v>73</v>
      </c>
      <c r="BS17" s="1" t="s">
        <v>73</v>
      </c>
      <c r="BT17" s="1" t="s">
        <v>73</v>
      </c>
      <c r="BU17" s="1" t="s">
        <v>73</v>
      </c>
      <c r="BV17" s="1" t="s">
        <v>73</v>
      </c>
      <c r="CB17" s="1"/>
      <c r="CC17" s="1"/>
      <c r="CF17"/>
      <c r="CG17"/>
      <c r="CH17"/>
      <c r="CI17"/>
      <c r="CJ17"/>
      <c r="CK17"/>
      <c r="CL17"/>
      <c r="CM17"/>
      <c r="CN17"/>
      <c r="CO17"/>
      <c r="CP17"/>
      <c r="CQ17"/>
      <c r="CR17"/>
      <c r="CS17"/>
      <c r="CT17"/>
    </row>
    <row r="18" spans="1:98" ht="17" thickBot="1" x14ac:dyDescent="0.25">
      <c r="A18" s="168" t="s">
        <v>135</v>
      </c>
      <c r="B18" s="168" t="s">
        <v>178</v>
      </c>
      <c r="C18" t="s">
        <v>132</v>
      </c>
      <c r="D18" s="1" t="s">
        <v>73</v>
      </c>
      <c r="E18" s="1" t="s">
        <v>72</v>
      </c>
      <c r="F18" s="1" t="s">
        <v>72</v>
      </c>
      <c r="G18" s="1" t="s">
        <v>73</v>
      </c>
      <c r="I18" s="169"/>
      <c r="J18"/>
      <c r="K18"/>
      <c r="M18"/>
      <c r="N18" s="169"/>
      <c r="O18" s="169"/>
      <c r="P18" s="169"/>
      <c r="Q18" s="1" t="s">
        <v>73</v>
      </c>
      <c r="R18" s="1" t="s">
        <v>73</v>
      </c>
      <c r="S18" s="1" t="s">
        <v>73</v>
      </c>
      <c r="T18"/>
      <c r="U18"/>
      <c r="V18"/>
      <c r="W18"/>
      <c r="X18"/>
      <c r="Y18"/>
      <c r="Z18" s="1" t="s">
        <v>73</v>
      </c>
      <c r="AA18" s="1" t="s">
        <v>73</v>
      </c>
      <c r="AB18"/>
      <c r="AC18"/>
      <c r="AD18"/>
      <c r="AE18"/>
      <c r="AF18"/>
      <c r="AG18"/>
      <c r="AH18"/>
      <c r="AI18"/>
      <c r="AJ18"/>
      <c r="AK18" s="1" t="s">
        <v>73</v>
      </c>
      <c r="AL18" s="1" t="s">
        <v>72</v>
      </c>
      <c r="AM18" s="171">
        <v>6</v>
      </c>
      <c r="AN18" s="1" t="s">
        <v>72</v>
      </c>
      <c r="AO18">
        <v>6</v>
      </c>
      <c r="AP18" s="1" t="s">
        <v>72</v>
      </c>
      <c r="AQ18" s="171">
        <v>6</v>
      </c>
      <c r="AR18" s="1" t="s">
        <v>72</v>
      </c>
      <c r="AS18">
        <v>6</v>
      </c>
      <c r="AT18" s="169" t="s">
        <v>72</v>
      </c>
      <c r="AU18" s="1">
        <v>1</v>
      </c>
      <c r="AV18" s="1">
        <v>1</v>
      </c>
      <c r="AW18" s="1">
        <v>25</v>
      </c>
      <c r="AX18" s="1">
        <v>3</v>
      </c>
      <c r="AY18" t="s">
        <v>73</v>
      </c>
      <c r="AZ18" t="s">
        <v>73</v>
      </c>
      <c r="BA18" s="61" t="s">
        <v>73</v>
      </c>
      <c r="BB18" s="168">
        <v>1807</v>
      </c>
      <c r="BC18" s="87">
        <v>45619.272326388891</v>
      </c>
      <c r="BD18" s="87">
        <v>45631.710601851853</v>
      </c>
      <c r="BE18" t="s">
        <v>73</v>
      </c>
      <c r="BF18" t="s">
        <v>73</v>
      </c>
      <c r="BG18" t="s">
        <v>73</v>
      </c>
      <c r="BH18" t="s">
        <v>73</v>
      </c>
      <c r="BI18" t="s">
        <v>73</v>
      </c>
      <c r="BJ18" t="s">
        <v>73</v>
      </c>
      <c r="BK18" s="168"/>
      <c r="BL18" t="s">
        <v>73</v>
      </c>
      <c r="BM18" t="s">
        <v>73</v>
      </c>
      <c r="BN18" t="s">
        <v>73</v>
      </c>
      <c r="BO18" t="s">
        <v>73</v>
      </c>
      <c r="BP18" t="s">
        <v>73</v>
      </c>
      <c r="BQ18" s="1" t="s">
        <v>73</v>
      </c>
      <c r="BS18" s="1" t="s">
        <v>73</v>
      </c>
      <c r="BT18" s="1" t="s">
        <v>73</v>
      </c>
      <c r="BU18" s="1" t="s">
        <v>73</v>
      </c>
      <c r="BV18" s="1" t="s">
        <v>73</v>
      </c>
      <c r="CB18" s="1"/>
      <c r="CC18" s="1"/>
      <c r="CF18"/>
      <c r="CG18"/>
      <c r="CH18"/>
      <c r="CI18"/>
      <c r="CJ18"/>
      <c r="CK18"/>
      <c r="CL18"/>
      <c r="CM18"/>
      <c r="CN18"/>
      <c r="CO18"/>
      <c r="CP18"/>
      <c r="CQ18"/>
      <c r="CR18"/>
      <c r="CS18"/>
      <c r="CT18"/>
    </row>
    <row r="19" spans="1:98" ht="16" thickTop="1" x14ac:dyDescent="0.2">
      <c r="A19" t="s">
        <v>79</v>
      </c>
      <c r="C19">
        <f>SUBTOTAL(103,KDA[Naam vereniging])</f>
        <v>12</v>
      </c>
      <c r="D19" s="1">
        <f>COUNTIF(KDA[Delegatie],"x")</f>
        <v>0</v>
      </c>
      <c r="E19" s="16">
        <f>COUNTIF(KDA[Muziekkorps bij mars en defilé],"x")</f>
        <v>12</v>
      </c>
      <c r="F19" s="16">
        <f>COUNTIF(KDA[Deeln. jeugdkoningschieten],"x")</f>
        <v>9</v>
      </c>
      <c r="G19" s="16">
        <f>COUNTIF(KDA[Maj. Senioren jureren bij mars],"x")</f>
        <v>0</v>
      </c>
      <c r="H19" s="16">
        <f>COUNTIF(KDA[Maj. Jeugd jureren bij mars],"x")</f>
        <v>1</v>
      </c>
      <c r="I19" s="1">
        <f>SUBTOTAL(103,KDA[Korps senioren])</f>
        <v>10</v>
      </c>
      <c r="J19" s="1">
        <f>SUBTOTAL(103,KDA[Junioren korps 1])</f>
        <v>2</v>
      </c>
      <c r="K19" s="1">
        <f>SUBTOTAL(103,KDA[Junioren korps 2])</f>
        <v>0</v>
      </c>
      <c r="L19" s="1">
        <f>SUBTOTAL(103,KDA[Aspiranten korps 1])</f>
        <v>2</v>
      </c>
      <c r="M19" s="1">
        <f>SUBTOTAL(103,KDA[Aspiranten korps 2])</f>
        <v>0</v>
      </c>
      <c r="N19" s="1">
        <f>SUBTOTAL(103,KDA[Acrobatisch senioren])</f>
        <v>0</v>
      </c>
      <c r="O19" s="1">
        <f>SUBTOTAL(103,KDA[Acrobatisch junioren])</f>
        <v>0</v>
      </c>
      <c r="P19" s="1">
        <f>SUBTOTAL(103,KDA[Acrobatisch aspiranten])</f>
        <v>0</v>
      </c>
      <c r="T19" s="79">
        <f>SUBTOTAL(109,KDA[Senioren indiv.])</f>
        <v>3</v>
      </c>
      <c r="U19" s="79">
        <f>SUBTOTAL(109,KDA[Junioren indiv.])</f>
        <v>0</v>
      </c>
      <c r="V19" s="1">
        <f>SUBTOTAL(109,KDA[Aspiranten indiv.])</f>
        <v>0</v>
      </c>
      <c r="W19" s="1">
        <f>SUBTOTAL(109,KDA[Sen. ind opgegeven namen])</f>
        <v>3</v>
      </c>
      <c r="X19" s="1">
        <f>SUBTOTAL(109,KDA[Jun. ind opgegeven namen])</f>
        <v>0</v>
      </c>
      <c r="Y19" s="1">
        <f>SUBTOTAL(109,KDA[Asp. ind opgegeven namen])</f>
        <v>0</v>
      </c>
      <c r="Z19" s="16">
        <f>COUNTIF(KDA[Hoofdkorps],"x")</f>
        <v>1</v>
      </c>
      <c r="AA19" s="120">
        <f>COUNTIF(KDA[2e korps],"x")</f>
        <v>0</v>
      </c>
      <c r="AB19" s="1">
        <f>SUBTOTAL(109,KDA[Groepen, teams, ensembles en duo''s])</f>
        <v>0</v>
      </c>
      <c r="AC19" s="1">
        <f>SUBTOTAL(109,KDA[Senioren])</f>
        <v>7</v>
      </c>
      <c r="AD19" s="1">
        <f>SUBTOTAL(109,KDA[Jong volwassene])</f>
        <v>1</v>
      </c>
      <c r="AE19" s="1">
        <f>SUBTOTAL(109,KDA[Junioren])</f>
        <v>0</v>
      </c>
      <c r="AF19" s="1">
        <f>SUBTOTAL(109,KDA[Aspiranten])</f>
        <v>0</v>
      </c>
      <c r="AG19" s="1">
        <f>SUBTOTAL(109,KDA[Opgegeven senioren])</f>
        <v>7</v>
      </c>
      <c r="AH19" s="1">
        <f>SUBTOTAL(109,KDA[Opgegeven jong volwassene])</f>
        <v>1</v>
      </c>
      <c r="AI19" s="1">
        <f>SUBTOTAL(109,KDA[Opgegeven junioren])</f>
        <v>0</v>
      </c>
      <c r="AJ19" s="1">
        <f>SUBTOTAL(109,KDA[Opgegeven aspiranten])</f>
        <v>0</v>
      </c>
      <c r="AK19" s="1">
        <f>COUNTIF(KDA[Marketentsters],"x")</f>
        <v>1</v>
      </c>
      <c r="AL19" s="1">
        <f>COUNTIF(KDA[Luchtgeweer],"x")</f>
        <v>10</v>
      </c>
      <c r="AM19">
        <f>SUBTOTAL(109,KDA[Aantal luchtgeweerschutters])</f>
        <v>53</v>
      </c>
      <c r="AN19" s="1">
        <f>COUNTIF(KDA[Luchtpistool],"x")</f>
        <v>9</v>
      </c>
      <c r="AO19" s="1">
        <f>SUBTOTAL(109,KDA[Aantal luchtpistoolschutters])</f>
        <v>49</v>
      </c>
      <c r="AP19" s="1">
        <f>COUNTIF(KDA[Handboog],"x")</f>
        <v>2</v>
      </c>
      <c r="AQ19">
        <f>SUBTOTAL(109,KDA[Aantal handboogschutters])</f>
        <v>12</v>
      </c>
      <c r="AR19" s="1">
        <f>COUNTIF(KDA[Kruisboog],"x")</f>
        <v>8</v>
      </c>
      <c r="AS19" s="1">
        <f>SUBTOTAL(109,KDA[Aantal kruisboogschutters])</f>
        <v>45</v>
      </c>
      <c r="AT19" s="1">
        <f>COUNTIF(KDA[Luchtgeweer jeugd niet ouder dan 17 jaar.],"x")</f>
        <v>4</v>
      </c>
      <c r="AU19" s="1">
        <f>SUBTOTAL(109,KDA[Aantal korpsen])</f>
        <v>8</v>
      </c>
      <c r="AV19" s="1">
        <f>SUBTOTAL(109,KDA[Opgegeven jeugdkorpsen LG])</f>
        <v>1</v>
      </c>
      <c r="AW19" s="1">
        <f>SUBTOTAL(109,KDA[Totaal aantal deelnemers])</f>
        <v>555</v>
      </c>
      <c r="AX19" s="1">
        <f>SUBTOTAL(109,KDA[Waarvan aantal jeugd (t/m 15 jaar)])</f>
        <v>78</v>
      </c>
      <c r="AY19" s="86">
        <f>COUNTIF(KDA[Kanon etc.],"x")</f>
        <v>2</v>
      </c>
      <c r="AZ19" s="1">
        <f>COUNTIF(KDA[Paarden en/of koetsen],"x")</f>
        <v>0</v>
      </c>
      <c r="BA19" s="63"/>
      <c r="BB19" s="1"/>
      <c r="BC19" s="1"/>
      <c r="BD19" s="1"/>
      <c r="BE19" s="1"/>
      <c r="BF19" s="1"/>
      <c r="BG19" s="1"/>
      <c r="BH19" s="1"/>
      <c r="BI19" s="1"/>
      <c r="BJ19" s="1"/>
      <c r="BK19" s="1"/>
      <c r="BL19" s="1"/>
      <c r="BM19" s="1"/>
      <c r="BN19" s="1"/>
      <c r="BO19" s="1"/>
      <c r="BP19" s="1"/>
      <c r="BQ19" s="1"/>
      <c r="BR19" s="1"/>
      <c r="BS19" s="1"/>
      <c r="BT19" s="1"/>
      <c r="BU19" s="1"/>
      <c r="BV19" s="1"/>
      <c r="BW19" s="1">
        <f>SUBTOTAL(109,KDA[Aantal opgegeven majorettes])</f>
        <v>0</v>
      </c>
      <c r="CB19" s="1"/>
      <c r="CC19" s="1"/>
      <c r="CD19" s="1"/>
      <c r="CE19" s="1"/>
      <c r="CH19"/>
      <c r="CI19"/>
      <c r="CJ19"/>
      <c r="CK19"/>
      <c r="CL19"/>
      <c r="CM19"/>
      <c r="CN19"/>
      <c r="CO19"/>
      <c r="CP19"/>
      <c r="CQ19"/>
      <c r="CR19"/>
      <c r="CS19"/>
      <c r="CT19"/>
    </row>
    <row r="20" spans="1:98" x14ac:dyDescent="0.2">
      <c r="CB20" s="1"/>
      <c r="CC20" s="1"/>
      <c r="CD20" s="1"/>
      <c r="CE20" s="1"/>
      <c r="CH20"/>
      <c r="CI20"/>
      <c r="CJ20"/>
      <c r="CK20"/>
      <c r="CL20"/>
      <c r="CM20"/>
      <c r="CN20"/>
      <c r="CO20"/>
      <c r="CP20"/>
      <c r="CQ20"/>
      <c r="CR20"/>
      <c r="CS20"/>
      <c r="CT20"/>
    </row>
    <row r="21" spans="1:98" x14ac:dyDescent="0.2">
      <c r="CB21" s="1"/>
      <c r="CC21" s="1"/>
      <c r="CD21" s="1"/>
      <c r="CE21" s="1"/>
      <c r="CH21"/>
      <c r="CI21"/>
      <c r="CJ21"/>
      <c r="CK21"/>
      <c r="CL21"/>
      <c r="CM21"/>
      <c r="CN21"/>
      <c r="CO21"/>
      <c r="CP21"/>
      <c r="CQ21"/>
      <c r="CR21"/>
      <c r="CS21"/>
      <c r="CT21"/>
    </row>
  </sheetData>
  <mergeCells count="14">
    <mergeCell ref="A1:CG1"/>
    <mergeCell ref="A2:CG2"/>
    <mergeCell ref="D3:H3"/>
    <mergeCell ref="I3:Y3"/>
    <mergeCell ref="Z3:AA3"/>
    <mergeCell ref="AL3:AV3"/>
    <mergeCell ref="BE3:BR3"/>
    <mergeCell ref="BS3:CA3"/>
    <mergeCell ref="AW3:BD3"/>
    <mergeCell ref="N4:P4"/>
    <mergeCell ref="Q4:S4"/>
    <mergeCell ref="T4:Y4"/>
    <mergeCell ref="BE4:BK4"/>
    <mergeCell ref="BL4:BR4"/>
  </mergeCells>
  <phoneticPr fontId="2" type="noConversion"/>
  <conditionalFormatting sqref="W6:W18">
    <cfRule type="expression" dxfId="22" priority="1">
      <formula>$T6-$W6&lt;&gt;0</formula>
    </cfRule>
  </conditionalFormatting>
  <conditionalFormatting sqref="X6:X18">
    <cfRule type="expression" dxfId="21" priority="2">
      <formula>$U6-$X6&lt;&gt;0</formula>
    </cfRule>
  </conditionalFormatting>
  <conditionalFormatting sqref="Y6:Y18">
    <cfRule type="expression" dxfId="20" priority="3">
      <formula>$V6-$Y6&lt;&gt;0</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C07CA-0AAA-4DAD-9D01-38C57DE0F2FF}">
  <dimension ref="A1:CG23"/>
  <sheetViews>
    <sheetView zoomScale="110" zoomScaleNormal="110" workbookViewId="0">
      <pane xSplit="3" ySplit="6" topLeftCell="E7" activePane="bottomRight" state="frozen"/>
      <selection pane="topRight" activeCell="D1" sqref="D1"/>
      <selection pane="bottomLeft" activeCell="A7" sqref="A7"/>
      <selection pane="bottomRight" activeCell="BX6" sqref="BX6"/>
    </sheetView>
  </sheetViews>
  <sheetFormatPr baseColWidth="10" defaultColWidth="9.1640625" defaultRowHeight="15" x14ac:dyDescent="0.2"/>
  <cols>
    <col min="1" max="1" width="11.5" bestFit="1" customWidth="1"/>
    <col min="2" max="2" width="8.6640625" bestFit="1" customWidth="1"/>
    <col min="3" max="3" width="30.33203125" bestFit="1" customWidth="1"/>
    <col min="4" max="4" width="3.5" style="1" bestFit="1" customWidth="1"/>
    <col min="5" max="8" width="8.5" style="1" bestFit="1" customWidth="1"/>
    <col min="9" max="9" width="8.5" style="1" customWidth="1"/>
    <col min="10" max="16" width="8.5" style="1" bestFit="1" customWidth="1"/>
    <col min="17" max="19" width="7.6640625" style="1" hidden="1" customWidth="1"/>
    <col min="20" max="26" width="8.5" style="1" bestFit="1" customWidth="1"/>
    <col min="27" max="27" width="7.6640625" style="1" hidden="1" customWidth="1"/>
    <col min="28" max="32" width="8.5" style="1" bestFit="1" customWidth="1"/>
    <col min="33" max="36" width="3.5" style="1" bestFit="1" customWidth="1"/>
    <col min="37" max="38" width="8.5" style="1" bestFit="1" customWidth="1"/>
    <col min="39" max="39" width="3.5" style="1" bestFit="1" customWidth="1"/>
    <col min="40" max="40" width="8.5" style="1" bestFit="1" customWidth="1"/>
    <col min="41" max="41" width="3.5" style="1" bestFit="1" customWidth="1"/>
    <col min="42" max="42" width="8.5" style="1" bestFit="1" customWidth="1"/>
    <col min="43" max="43" width="3.5" style="1" bestFit="1" customWidth="1"/>
    <col min="44" max="44" width="8.5" style="61" bestFit="1" customWidth="1"/>
    <col min="45" max="45" width="3.5" bestFit="1" customWidth="1"/>
    <col min="46" max="47" width="8.5" bestFit="1" customWidth="1"/>
    <col min="48" max="48" width="3.5" bestFit="1" customWidth="1"/>
    <col min="49" max="49" width="8.5" style="63" bestFit="1" customWidth="1"/>
    <col min="50" max="50" width="8.5" style="1" bestFit="1" customWidth="1"/>
    <col min="51" max="52" width="8.5" bestFit="1" customWidth="1"/>
    <col min="53" max="53" width="31" bestFit="1" customWidth="1"/>
    <col min="54" max="54" width="8.5" bestFit="1" customWidth="1"/>
    <col min="55" max="56" width="15" bestFit="1" customWidth="1"/>
    <col min="57" max="57" width="29.1640625" bestFit="1" customWidth="1"/>
    <col min="58" max="58" width="8.5" bestFit="1" customWidth="1"/>
    <col min="59" max="59" width="12.33203125" bestFit="1" customWidth="1"/>
    <col min="60" max="60" width="28.33203125" bestFit="1" customWidth="1"/>
    <col min="61" max="62" width="9.1640625" bestFit="1" customWidth="1"/>
    <col min="63" max="63" width="8.5" bestFit="1" customWidth="1"/>
    <col min="64" max="70" width="7.6640625" hidden="1" customWidth="1"/>
    <col min="71" max="75" width="8.5" bestFit="1" customWidth="1"/>
    <col min="76" max="76" width="39.33203125" style="1" bestFit="1" customWidth="1"/>
    <col min="77" max="77" width="42" style="1" bestFit="1" customWidth="1"/>
    <col min="78" max="78" width="35.6640625" style="1" bestFit="1" customWidth="1"/>
    <col min="79" max="80" width="7.6640625" style="1" bestFit="1" customWidth="1"/>
    <col min="81" max="81" width="10.1640625" style="1" bestFit="1" customWidth="1"/>
    <col min="82" max="82" width="15.6640625" style="1" bestFit="1" customWidth="1"/>
  </cols>
  <sheetData>
    <row r="1" spans="1:85" ht="27" customHeight="1" x14ac:dyDescent="0.2">
      <c r="A1" s="142" t="s">
        <v>83</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72"/>
      <c r="BY1" s="72"/>
      <c r="BZ1" s="72"/>
      <c r="CA1" s="72"/>
      <c r="CB1" s="72"/>
      <c r="CC1" s="72"/>
      <c r="CD1" s="72"/>
    </row>
    <row r="2" spans="1:85" ht="20" thickBot="1" x14ac:dyDescent="0.3">
      <c r="A2" s="143" t="s">
        <v>142</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73"/>
      <c r="BY2" s="73"/>
      <c r="BZ2" s="73"/>
      <c r="CA2" s="73"/>
      <c r="CB2" s="73"/>
      <c r="CC2" s="73"/>
      <c r="CD2" s="73"/>
    </row>
    <row r="3" spans="1:85" ht="16" thickBot="1" x14ac:dyDescent="0.25">
      <c r="A3" s="20"/>
      <c r="B3" s="21"/>
      <c r="C3" s="22"/>
      <c r="D3" s="133" t="s">
        <v>1</v>
      </c>
      <c r="E3" s="134"/>
      <c r="F3" s="134"/>
      <c r="G3" s="134"/>
      <c r="H3" s="135"/>
      <c r="I3" s="136" t="s">
        <v>2</v>
      </c>
      <c r="J3" s="137"/>
      <c r="K3" s="137"/>
      <c r="L3" s="137"/>
      <c r="M3" s="137"/>
      <c r="N3" s="137"/>
      <c r="O3" s="137"/>
      <c r="P3" s="137"/>
      <c r="Q3" s="137"/>
      <c r="R3" s="137"/>
      <c r="S3" s="137"/>
      <c r="T3" s="137"/>
      <c r="U3" s="137"/>
      <c r="V3" s="137"/>
      <c r="W3" s="137"/>
      <c r="X3" s="137"/>
      <c r="Y3" s="138"/>
      <c r="Z3" s="133" t="s">
        <v>3</v>
      </c>
      <c r="AA3" s="135"/>
      <c r="AB3" s="26" t="s">
        <v>4</v>
      </c>
      <c r="AC3" s="95" t="s">
        <v>5</v>
      </c>
      <c r="AD3" s="96"/>
      <c r="AE3" s="96"/>
      <c r="AF3" s="96"/>
      <c r="AG3" s="96"/>
      <c r="AH3" s="96"/>
      <c r="AI3" s="96"/>
      <c r="AJ3" s="97"/>
      <c r="AK3" s="26" t="s">
        <v>6</v>
      </c>
      <c r="AL3" s="133" t="s">
        <v>7</v>
      </c>
      <c r="AM3" s="134"/>
      <c r="AN3" s="134"/>
      <c r="AO3" s="134"/>
      <c r="AP3" s="134"/>
      <c r="AQ3" s="134"/>
      <c r="AR3" s="134"/>
      <c r="AS3" s="134"/>
      <c r="AT3" s="134"/>
      <c r="AU3" s="134"/>
      <c r="AV3" s="135"/>
      <c r="AW3" s="133" t="s">
        <v>8</v>
      </c>
      <c r="AX3" s="134"/>
      <c r="AY3" s="134"/>
      <c r="AZ3" s="134"/>
      <c r="BA3" s="134"/>
      <c r="BB3" s="134"/>
      <c r="BC3" s="134"/>
      <c r="BD3" s="135"/>
      <c r="BE3" s="136" t="s">
        <v>9</v>
      </c>
      <c r="BF3" s="137"/>
      <c r="BG3" s="137"/>
      <c r="BH3" s="137"/>
      <c r="BI3" s="137"/>
      <c r="BJ3" s="137"/>
      <c r="BK3" s="137"/>
      <c r="BL3" s="137"/>
      <c r="BM3" s="137"/>
      <c r="BN3" s="137"/>
      <c r="BO3" s="137"/>
      <c r="BP3" s="137"/>
      <c r="BQ3" s="137"/>
      <c r="BR3" s="137"/>
      <c r="BS3" s="139" t="s">
        <v>10</v>
      </c>
      <c r="BT3" s="140"/>
      <c r="BU3" s="140"/>
      <c r="BV3" s="140"/>
      <c r="BW3" s="141"/>
      <c r="BX3"/>
      <c r="BY3"/>
      <c r="BZ3"/>
      <c r="CA3"/>
      <c r="CB3"/>
      <c r="CC3"/>
      <c r="CD3"/>
    </row>
    <row r="4" spans="1:85" ht="16" thickBot="1" x14ac:dyDescent="0.25">
      <c r="A4" s="23"/>
      <c r="B4" s="24"/>
      <c r="C4" s="25"/>
      <c r="D4" s="23"/>
      <c r="E4" s="24"/>
      <c r="F4" s="24"/>
      <c r="G4" s="24"/>
      <c r="H4" s="25"/>
      <c r="I4" s="136" t="s">
        <v>11</v>
      </c>
      <c r="J4" s="137"/>
      <c r="K4" s="137"/>
      <c r="L4" s="137"/>
      <c r="M4" s="138"/>
      <c r="N4" s="136" t="s">
        <v>88</v>
      </c>
      <c r="O4" s="137"/>
      <c r="P4" s="138"/>
      <c r="Q4" s="136" t="s">
        <v>13</v>
      </c>
      <c r="R4" s="137"/>
      <c r="S4" s="138"/>
      <c r="T4" s="136" t="s">
        <v>14</v>
      </c>
      <c r="U4" s="137"/>
      <c r="V4" s="137"/>
      <c r="W4" s="137"/>
      <c r="X4" s="137"/>
      <c r="Y4" s="138"/>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24"/>
      <c r="AZ4" s="24"/>
      <c r="BA4" s="62"/>
      <c r="BB4" s="24"/>
      <c r="BC4" s="24"/>
      <c r="BD4" s="25"/>
      <c r="BE4" s="136" t="s">
        <v>15</v>
      </c>
      <c r="BF4" s="137"/>
      <c r="BG4" s="137"/>
      <c r="BH4" s="137"/>
      <c r="BI4" s="137"/>
      <c r="BJ4" s="137"/>
      <c r="BK4" s="138"/>
      <c r="BL4" s="136" t="s">
        <v>16</v>
      </c>
      <c r="BM4" s="137"/>
      <c r="BN4" s="137"/>
      <c r="BO4" s="137"/>
      <c r="BP4" s="137"/>
      <c r="BQ4" s="137"/>
      <c r="BR4" s="138"/>
      <c r="BS4" s="125"/>
      <c r="BT4" s="99"/>
      <c r="BU4" s="99"/>
      <c r="BV4" s="99"/>
      <c r="BW4" s="100"/>
      <c r="BX4" s="34"/>
      <c r="BY4" s="34"/>
      <c r="BZ4"/>
      <c r="CA4"/>
      <c r="CB4"/>
      <c r="CC4"/>
      <c r="CD4"/>
    </row>
    <row r="5" spans="1:85" ht="6.75" hidden="1" customHeight="1" x14ac:dyDescent="0.2">
      <c r="AR5" s="63"/>
      <c r="AS5" s="1"/>
      <c r="AT5" s="1"/>
      <c r="AU5" s="1"/>
      <c r="AV5" s="1"/>
      <c r="AY5" s="1"/>
      <c r="AZ5" s="1"/>
      <c r="BA5" s="1"/>
      <c r="BB5" s="1"/>
      <c r="BC5" s="1"/>
      <c r="BD5" s="1"/>
      <c r="BE5" s="1"/>
      <c r="BF5" s="1"/>
      <c r="BG5" s="1"/>
      <c r="BH5" s="1"/>
      <c r="BI5" s="1"/>
      <c r="BJ5" s="1"/>
      <c r="BK5" s="1"/>
      <c r="BL5" s="1"/>
      <c r="BM5" s="1"/>
      <c r="BN5" s="1"/>
      <c r="BO5" s="1"/>
      <c r="BP5" s="1"/>
      <c r="BQ5" s="1"/>
      <c r="BR5" s="1"/>
      <c r="BS5" s="1"/>
      <c r="BT5" s="1"/>
      <c r="BU5" s="1"/>
      <c r="BV5" s="1"/>
      <c r="BW5" s="1"/>
      <c r="CE5" s="1"/>
      <c r="CF5" s="1"/>
      <c r="CG5" s="1"/>
    </row>
    <row r="6" spans="1:85" s="2" customFormat="1" ht="218" thickBot="1" x14ac:dyDescent="0.25">
      <c r="A6" s="6" t="s">
        <v>17</v>
      </c>
      <c r="B6" s="7" t="s">
        <v>18</v>
      </c>
      <c r="C6" s="8" t="s">
        <v>19</v>
      </c>
      <c r="D6" s="3" t="s">
        <v>20</v>
      </c>
      <c r="E6" s="4" t="s">
        <v>21</v>
      </c>
      <c r="F6" s="4" t="s">
        <v>22</v>
      </c>
      <c r="G6" s="4" t="s">
        <v>23</v>
      </c>
      <c r="H6" s="4"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94" t="s">
        <v>112</v>
      </c>
      <c r="AH6" s="94" t="s">
        <v>113</v>
      </c>
      <c r="AI6" s="94" t="s">
        <v>114</v>
      </c>
      <c r="AJ6" s="101" t="s">
        <v>115</v>
      </c>
      <c r="AK6" s="14" t="s">
        <v>41</v>
      </c>
      <c r="AL6" s="9" t="s">
        <v>42</v>
      </c>
      <c r="AM6" s="94" t="s">
        <v>122</v>
      </c>
      <c r="AN6" s="10" t="s">
        <v>43</v>
      </c>
      <c r="AO6" s="94" t="s">
        <v>123</v>
      </c>
      <c r="AP6" s="10" t="s">
        <v>45</v>
      </c>
      <c r="AQ6" s="94" t="s">
        <v>124</v>
      </c>
      <c r="AR6" s="10" t="s">
        <v>44</v>
      </c>
      <c r="AS6" s="94" t="s">
        <v>125</v>
      </c>
      <c r="AT6" s="10" t="s">
        <v>116</v>
      </c>
      <c r="AU6" s="10" t="s">
        <v>117</v>
      </c>
      <c r="AV6" s="94" t="s">
        <v>118</v>
      </c>
      <c r="AW6" s="9" t="s">
        <v>46</v>
      </c>
      <c r="AX6" s="10" t="s">
        <v>47</v>
      </c>
      <c r="AY6" s="10" t="s">
        <v>48</v>
      </c>
      <c r="AZ6" s="10" t="s">
        <v>49</v>
      </c>
      <c r="BA6" s="98" t="s">
        <v>50</v>
      </c>
      <c r="BB6" s="10" t="s">
        <v>51</v>
      </c>
      <c r="BC6" s="10" t="s">
        <v>52</v>
      </c>
      <c r="BD6" s="10"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0" t="s">
        <v>66</v>
      </c>
      <c r="BS6" s="9" t="s">
        <v>70</v>
      </c>
      <c r="BT6" s="10" t="s">
        <v>67</v>
      </c>
      <c r="BU6" s="10" t="s">
        <v>68</v>
      </c>
      <c r="BV6" s="10" t="s">
        <v>69</v>
      </c>
      <c r="BW6" s="11" t="s">
        <v>71</v>
      </c>
    </row>
    <row r="7" spans="1:85" ht="16" x14ac:dyDescent="0.2">
      <c r="A7" t="s">
        <v>136</v>
      </c>
      <c r="B7" t="s">
        <v>210</v>
      </c>
      <c r="C7" t="s">
        <v>211</v>
      </c>
      <c r="D7" s="1" t="s">
        <v>73</v>
      </c>
      <c r="E7" s="1" t="s">
        <v>72</v>
      </c>
      <c r="F7" s="1" t="s">
        <v>72</v>
      </c>
      <c r="G7" s="1" t="s">
        <v>73</v>
      </c>
      <c r="I7" s="1">
        <v>5</v>
      </c>
      <c r="J7">
        <v>3</v>
      </c>
      <c r="K7"/>
      <c r="L7"/>
      <c r="M7"/>
      <c r="N7" s="1">
        <v>4</v>
      </c>
      <c r="Q7" s="1" t="s">
        <v>73</v>
      </c>
      <c r="R7" s="1" t="s">
        <v>73</v>
      </c>
      <c r="S7" s="1" t="s">
        <v>73</v>
      </c>
      <c r="T7" s="1">
        <v>3</v>
      </c>
      <c r="U7" s="1">
        <v>1</v>
      </c>
      <c r="W7" s="1">
        <v>3</v>
      </c>
      <c r="X7" s="1">
        <v>1</v>
      </c>
      <c r="Z7" s="1" t="s">
        <v>73</v>
      </c>
      <c r="AA7" s="1" t="s">
        <v>73</v>
      </c>
      <c r="AB7"/>
      <c r="AD7"/>
      <c r="AG7"/>
      <c r="AH7"/>
      <c r="AI7"/>
      <c r="AJ7"/>
      <c r="AK7" s="1" t="s">
        <v>72</v>
      </c>
      <c r="AL7" s="1" t="s">
        <v>73</v>
      </c>
      <c r="AM7"/>
      <c r="AN7" s="1" t="s">
        <v>73</v>
      </c>
      <c r="AO7"/>
      <c r="AP7" s="1" t="s">
        <v>73</v>
      </c>
      <c r="AQ7"/>
      <c r="AR7" s="1" t="s">
        <v>73</v>
      </c>
      <c r="AT7" t="s">
        <v>73</v>
      </c>
      <c r="AW7" s="1">
        <v>32</v>
      </c>
      <c r="AX7" s="1">
        <v>7</v>
      </c>
      <c r="AY7" t="s">
        <v>73</v>
      </c>
      <c r="AZ7" t="s">
        <v>73</v>
      </c>
      <c r="BA7" s="61" t="s">
        <v>73</v>
      </c>
      <c r="BB7">
        <v>1847</v>
      </c>
      <c r="BC7" s="87">
        <v>45642.810335648152</v>
      </c>
      <c r="BD7" s="87">
        <v>45642.76866898148</v>
      </c>
      <c r="BE7" t="s">
        <v>73</v>
      </c>
      <c r="BF7" t="s">
        <v>73</v>
      </c>
      <c r="BG7" t="s">
        <v>73</v>
      </c>
      <c r="BH7" t="s">
        <v>73</v>
      </c>
      <c r="BI7" t="s">
        <v>73</v>
      </c>
      <c r="BJ7" t="s">
        <v>73</v>
      </c>
      <c r="BL7" t="s">
        <v>73</v>
      </c>
      <c r="BM7" t="s">
        <v>73</v>
      </c>
      <c r="BN7" t="s">
        <v>73</v>
      </c>
      <c r="BO7" t="s">
        <v>73</v>
      </c>
      <c r="BP7" t="s">
        <v>73</v>
      </c>
      <c r="BQ7" s="1" t="s">
        <v>73</v>
      </c>
      <c r="BR7" s="1"/>
      <c r="BS7" s="1" t="s">
        <v>73</v>
      </c>
      <c r="BT7" s="1" t="s">
        <v>73</v>
      </c>
      <c r="BU7" s="1" t="s">
        <v>73</v>
      </c>
      <c r="BV7" s="1" t="s">
        <v>73</v>
      </c>
      <c r="BW7" s="1"/>
      <c r="BX7"/>
      <c r="BY7"/>
      <c r="BZ7"/>
      <c r="CA7"/>
      <c r="CB7"/>
      <c r="CC7"/>
      <c r="CD7"/>
    </row>
    <row r="8" spans="1:85" ht="80" x14ac:dyDescent="0.2">
      <c r="A8" t="s">
        <v>136</v>
      </c>
      <c r="B8" t="s">
        <v>179</v>
      </c>
      <c r="C8" t="s">
        <v>170</v>
      </c>
      <c r="D8" s="1" t="s">
        <v>73</v>
      </c>
      <c r="E8" s="1" t="s">
        <v>72</v>
      </c>
      <c r="F8" s="1" t="s">
        <v>72</v>
      </c>
      <c r="G8" s="1" t="s">
        <v>73</v>
      </c>
      <c r="J8"/>
      <c r="K8"/>
      <c r="L8">
        <v>6</v>
      </c>
      <c r="M8"/>
      <c r="Q8" s="1" t="s">
        <v>73</v>
      </c>
      <c r="R8" s="1" t="s">
        <v>73</v>
      </c>
      <c r="S8" s="1" t="s">
        <v>73</v>
      </c>
      <c r="U8" s="1">
        <v>1</v>
      </c>
      <c r="V8" s="1">
        <v>5</v>
      </c>
      <c r="X8" s="1">
        <v>1</v>
      </c>
      <c r="Y8" s="1">
        <v>5</v>
      </c>
      <c r="Z8" s="1" t="s">
        <v>72</v>
      </c>
      <c r="AA8" s="1" t="s">
        <v>73</v>
      </c>
      <c r="AB8"/>
      <c r="AD8"/>
      <c r="AG8"/>
      <c r="AH8"/>
      <c r="AI8"/>
      <c r="AJ8"/>
      <c r="AK8" s="1" t="s">
        <v>73</v>
      </c>
      <c r="AL8" s="1" t="s">
        <v>73</v>
      </c>
      <c r="AM8"/>
      <c r="AN8" s="1" t="s">
        <v>73</v>
      </c>
      <c r="AO8"/>
      <c r="AP8" s="1" t="s">
        <v>73</v>
      </c>
      <c r="AQ8"/>
      <c r="AR8" s="1" t="s">
        <v>73</v>
      </c>
      <c r="AT8" t="s">
        <v>72</v>
      </c>
      <c r="AU8">
        <v>3</v>
      </c>
      <c r="AW8" s="1">
        <v>42</v>
      </c>
      <c r="AX8" s="1">
        <v>42</v>
      </c>
      <c r="AY8" t="s">
        <v>73</v>
      </c>
      <c r="AZ8" t="s">
        <v>73</v>
      </c>
      <c r="BA8" s="61" t="s">
        <v>160</v>
      </c>
      <c r="BB8">
        <v>1829</v>
      </c>
      <c r="BC8" s="87">
        <v>45639.322210648148</v>
      </c>
      <c r="BD8" s="87">
        <v>45639.287627314814</v>
      </c>
      <c r="BE8" t="s">
        <v>166</v>
      </c>
      <c r="BF8" t="s">
        <v>78</v>
      </c>
      <c r="BG8" t="s">
        <v>161</v>
      </c>
      <c r="BH8" t="s">
        <v>162</v>
      </c>
      <c r="BI8" t="s">
        <v>171</v>
      </c>
      <c r="BJ8" t="s">
        <v>171</v>
      </c>
      <c r="BK8">
        <v>23</v>
      </c>
      <c r="BL8" t="s">
        <v>73</v>
      </c>
      <c r="BM8" t="s">
        <v>73</v>
      </c>
      <c r="BN8" t="s">
        <v>73</v>
      </c>
      <c r="BO8" t="s">
        <v>73</v>
      </c>
      <c r="BP8" t="s">
        <v>73</v>
      </c>
      <c r="BQ8" s="1" t="s">
        <v>73</v>
      </c>
      <c r="BR8" s="1"/>
      <c r="BS8" s="1" t="s">
        <v>73</v>
      </c>
      <c r="BT8" s="1" t="s">
        <v>73</v>
      </c>
      <c r="BU8" s="1" t="s">
        <v>73</v>
      </c>
      <c r="BV8" s="1" t="s">
        <v>73</v>
      </c>
      <c r="BW8" s="1"/>
      <c r="BX8"/>
      <c r="BY8"/>
      <c r="BZ8"/>
      <c r="CA8"/>
      <c r="CB8"/>
      <c r="CC8"/>
      <c r="CD8"/>
    </row>
    <row r="9" spans="1:85" ht="48" x14ac:dyDescent="0.2">
      <c r="A9" t="s">
        <v>136</v>
      </c>
      <c r="B9" t="s">
        <v>180</v>
      </c>
      <c r="C9" t="s">
        <v>157</v>
      </c>
      <c r="D9" s="1" t="s">
        <v>72</v>
      </c>
      <c r="E9" s="1" t="s">
        <v>72</v>
      </c>
      <c r="F9" s="1" t="s">
        <v>73</v>
      </c>
      <c r="G9" s="1" t="s">
        <v>73</v>
      </c>
      <c r="J9"/>
      <c r="K9"/>
      <c r="L9"/>
      <c r="M9"/>
      <c r="Q9" s="1" t="s">
        <v>73</v>
      </c>
      <c r="R9" s="1" t="s">
        <v>73</v>
      </c>
      <c r="S9" s="1" t="s">
        <v>73</v>
      </c>
      <c r="T9" s="1">
        <v>4</v>
      </c>
      <c r="U9" s="1">
        <v>3</v>
      </c>
      <c r="W9" s="1">
        <v>4</v>
      </c>
      <c r="X9" s="1">
        <v>3</v>
      </c>
      <c r="Z9" s="1" t="s">
        <v>73</v>
      </c>
      <c r="AA9" s="1" t="s">
        <v>73</v>
      </c>
      <c r="AB9"/>
      <c r="AD9"/>
      <c r="AG9"/>
      <c r="AH9"/>
      <c r="AI9"/>
      <c r="AJ9"/>
      <c r="AK9" s="1" t="s">
        <v>73</v>
      </c>
      <c r="AL9" s="1" t="s">
        <v>73</v>
      </c>
      <c r="AM9"/>
      <c r="AN9" s="1" t="s">
        <v>73</v>
      </c>
      <c r="AO9"/>
      <c r="AP9" s="1" t="s">
        <v>73</v>
      </c>
      <c r="AQ9"/>
      <c r="AR9" s="1" t="s">
        <v>73</v>
      </c>
      <c r="AT9" t="s">
        <v>73</v>
      </c>
      <c r="AW9" s="1">
        <v>0</v>
      </c>
      <c r="AX9" s="1">
        <v>0</v>
      </c>
      <c r="AY9" t="s">
        <v>73</v>
      </c>
      <c r="AZ9" t="s">
        <v>73</v>
      </c>
      <c r="BA9" s="61" t="s">
        <v>158</v>
      </c>
      <c r="BB9">
        <v>1828</v>
      </c>
      <c r="BC9" s="87">
        <v>45638.651747685188</v>
      </c>
      <c r="BD9" s="87">
        <v>45639.807164351849</v>
      </c>
      <c r="BE9" t="s">
        <v>73</v>
      </c>
      <c r="BF9" t="s">
        <v>73</v>
      </c>
      <c r="BG9" t="s">
        <v>73</v>
      </c>
      <c r="BH9" t="s">
        <v>73</v>
      </c>
      <c r="BI9" t="s">
        <v>73</v>
      </c>
      <c r="BJ9" t="s">
        <v>73</v>
      </c>
      <c r="BL9" t="s">
        <v>73</v>
      </c>
      <c r="BM9" t="s">
        <v>73</v>
      </c>
      <c r="BN9" t="s">
        <v>73</v>
      </c>
      <c r="BO9" t="s">
        <v>73</v>
      </c>
      <c r="BP9" t="s">
        <v>73</v>
      </c>
      <c r="BQ9" s="1" t="s">
        <v>73</v>
      </c>
      <c r="BR9" s="1"/>
      <c r="BS9" s="1" t="s">
        <v>73</v>
      </c>
      <c r="BT9" s="1" t="s">
        <v>73</v>
      </c>
      <c r="BU9" s="1" t="s">
        <v>73</v>
      </c>
      <c r="BV9" s="1" t="s">
        <v>73</v>
      </c>
      <c r="BW9" s="1"/>
      <c r="BX9"/>
      <c r="BY9"/>
      <c r="BZ9"/>
      <c r="CA9"/>
      <c r="CB9"/>
      <c r="CC9"/>
      <c r="CD9"/>
    </row>
    <row r="10" spans="1:85" ht="80" x14ac:dyDescent="0.2">
      <c r="A10" t="s">
        <v>136</v>
      </c>
      <c r="B10" t="s">
        <v>181</v>
      </c>
      <c r="C10" t="s">
        <v>159</v>
      </c>
      <c r="D10" s="1" t="s">
        <v>73</v>
      </c>
      <c r="E10" s="1" t="s">
        <v>72</v>
      </c>
      <c r="F10" s="1" t="s">
        <v>73</v>
      </c>
      <c r="G10" s="1" t="s">
        <v>73</v>
      </c>
      <c r="I10" s="1">
        <v>7</v>
      </c>
      <c r="J10"/>
      <c r="K10"/>
      <c r="L10"/>
      <c r="M10"/>
      <c r="Q10" s="1" t="s">
        <v>73</v>
      </c>
      <c r="R10" s="1" t="s">
        <v>73</v>
      </c>
      <c r="S10" s="1" t="s">
        <v>73</v>
      </c>
      <c r="T10" s="1">
        <v>1</v>
      </c>
      <c r="W10" s="1">
        <v>1</v>
      </c>
      <c r="Z10" s="1" t="s">
        <v>72</v>
      </c>
      <c r="AA10" s="1" t="s">
        <v>73</v>
      </c>
      <c r="AB10"/>
      <c r="AD10"/>
      <c r="AG10"/>
      <c r="AH10"/>
      <c r="AI10"/>
      <c r="AJ10"/>
      <c r="AK10" s="1" t="s">
        <v>73</v>
      </c>
      <c r="AL10" s="1" t="s">
        <v>72</v>
      </c>
      <c r="AM10">
        <v>6</v>
      </c>
      <c r="AN10" s="1" t="s">
        <v>72</v>
      </c>
      <c r="AO10">
        <v>6</v>
      </c>
      <c r="AP10" s="1" t="s">
        <v>73</v>
      </c>
      <c r="AQ10"/>
      <c r="AR10" s="1" t="s">
        <v>72</v>
      </c>
      <c r="AS10">
        <v>6</v>
      </c>
      <c r="AT10" t="s">
        <v>73</v>
      </c>
      <c r="AW10" s="1">
        <v>90</v>
      </c>
      <c r="AX10" s="1">
        <v>0</v>
      </c>
      <c r="AY10" t="s">
        <v>73</v>
      </c>
      <c r="AZ10" t="s">
        <v>73</v>
      </c>
      <c r="BA10" s="61" t="s">
        <v>160</v>
      </c>
      <c r="BB10">
        <v>1825</v>
      </c>
      <c r="BC10" s="87">
        <v>45637.585219907407</v>
      </c>
      <c r="BD10" s="87">
        <v>45637.543553240743</v>
      </c>
      <c r="BE10" t="s">
        <v>159</v>
      </c>
      <c r="BF10" t="s">
        <v>78</v>
      </c>
      <c r="BG10" t="s">
        <v>161</v>
      </c>
      <c r="BH10" t="s">
        <v>162</v>
      </c>
      <c r="BI10" t="s">
        <v>163</v>
      </c>
      <c r="BJ10" t="s">
        <v>163</v>
      </c>
      <c r="BK10">
        <v>62</v>
      </c>
      <c r="BL10" t="s">
        <v>73</v>
      </c>
      <c r="BM10" t="s">
        <v>73</v>
      </c>
      <c r="BN10" t="s">
        <v>73</v>
      </c>
      <c r="BO10" t="s">
        <v>73</v>
      </c>
      <c r="BP10" t="s">
        <v>73</v>
      </c>
      <c r="BQ10" s="1" t="s">
        <v>73</v>
      </c>
      <c r="BR10" s="1"/>
      <c r="BS10" s="1" t="s">
        <v>73</v>
      </c>
      <c r="BT10" s="1" t="s">
        <v>73</v>
      </c>
      <c r="BU10" s="1" t="s">
        <v>73</v>
      </c>
      <c r="BV10" s="1" t="s">
        <v>73</v>
      </c>
      <c r="BW10" s="1"/>
      <c r="BX10"/>
      <c r="BY10"/>
      <c r="BZ10"/>
      <c r="CA10"/>
      <c r="CB10"/>
      <c r="CC10"/>
      <c r="CD10"/>
    </row>
    <row r="11" spans="1:85" ht="16" x14ac:dyDescent="0.2">
      <c r="A11" t="s">
        <v>136</v>
      </c>
      <c r="B11" t="s">
        <v>182</v>
      </c>
      <c r="C11" t="s">
        <v>150</v>
      </c>
      <c r="D11" s="1" t="s">
        <v>73</v>
      </c>
      <c r="E11" s="1" t="s">
        <v>72</v>
      </c>
      <c r="F11" s="1" t="s">
        <v>72</v>
      </c>
      <c r="G11" s="1" t="s">
        <v>73</v>
      </c>
      <c r="I11" s="1">
        <v>3</v>
      </c>
      <c r="J11"/>
      <c r="K11"/>
      <c r="L11"/>
      <c r="M11"/>
      <c r="Q11" s="1" t="s">
        <v>73</v>
      </c>
      <c r="R11" s="1" t="s">
        <v>73</v>
      </c>
      <c r="S11" s="1" t="s">
        <v>73</v>
      </c>
      <c r="Z11" s="1" t="s">
        <v>73</v>
      </c>
      <c r="AA11" s="1" t="s">
        <v>73</v>
      </c>
      <c r="AB11"/>
      <c r="AD11"/>
      <c r="AG11"/>
      <c r="AH11"/>
      <c r="AI11"/>
      <c r="AJ11"/>
      <c r="AK11" s="1" t="s">
        <v>73</v>
      </c>
      <c r="AL11" s="1" t="s">
        <v>72</v>
      </c>
      <c r="AM11">
        <v>6</v>
      </c>
      <c r="AN11" s="1" t="s">
        <v>72</v>
      </c>
      <c r="AO11">
        <v>6</v>
      </c>
      <c r="AP11" s="1" t="s">
        <v>73</v>
      </c>
      <c r="AQ11"/>
      <c r="AR11" s="1" t="s">
        <v>72</v>
      </c>
      <c r="AS11">
        <v>3</v>
      </c>
      <c r="AT11" t="s">
        <v>73</v>
      </c>
      <c r="AW11" s="1">
        <v>30</v>
      </c>
      <c r="AX11" s="1">
        <v>2</v>
      </c>
      <c r="AY11" t="s">
        <v>73</v>
      </c>
      <c r="AZ11" t="s">
        <v>73</v>
      </c>
      <c r="BA11" s="61" t="s">
        <v>73</v>
      </c>
      <c r="BB11">
        <v>1818</v>
      </c>
      <c r="BC11" s="87">
        <v>45634.991388888891</v>
      </c>
      <c r="BD11" s="87">
        <v>45634.94972222222</v>
      </c>
      <c r="BE11" t="s">
        <v>73</v>
      </c>
      <c r="BF11" t="s">
        <v>73</v>
      </c>
      <c r="BG11" t="s">
        <v>73</v>
      </c>
      <c r="BH11" t="s">
        <v>73</v>
      </c>
      <c r="BI11" t="s">
        <v>73</v>
      </c>
      <c r="BJ11" t="s">
        <v>73</v>
      </c>
      <c r="BL11" t="s">
        <v>73</v>
      </c>
      <c r="BM11" t="s">
        <v>73</v>
      </c>
      <c r="BN11" t="s">
        <v>73</v>
      </c>
      <c r="BO11" t="s">
        <v>73</v>
      </c>
      <c r="BP11" t="s">
        <v>73</v>
      </c>
      <c r="BQ11" s="1" t="s">
        <v>73</v>
      </c>
      <c r="BR11" s="1"/>
      <c r="BS11" s="1" t="s">
        <v>73</v>
      </c>
      <c r="BT11" s="1" t="s">
        <v>73</v>
      </c>
      <c r="BU11" s="1" t="s">
        <v>73</v>
      </c>
      <c r="BV11" s="1" t="s">
        <v>73</v>
      </c>
      <c r="BW11" s="1"/>
      <c r="BX11"/>
      <c r="BY11"/>
      <c r="BZ11"/>
      <c r="CA11"/>
      <c r="CB11"/>
      <c r="CC11"/>
      <c r="CD11"/>
    </row>
    <row r="12" spans="1:85" ht="17" thickBot="1" x14ac:dyDescent="0.25">
      <c r="A12" t="s">
        <v>136</v>
      </c>
      <c r="B12" t="s">
        <v>183</v>
      </c>
      <c r="C12" t="s">
        <v>137</v>
      </c>
      <c r="D12" s="1" t="s">
        <v>73</v>
      </c>
      <c r="E12" s="1" t="s">
        <v>72</v>
      </c>
      <c r="F12" s="1" t="s">
        <v>72</v>
      </c>
      <c r="G12" s="1" t="s">
        <v>73</v>
      </c>
      <c r="J12"/>
      <c r="K12"/>
      <c r="L12"/>
      <c r="M12"/>
      <c r="Q12" s="1" t="s">
        <v>73</v>
      </c>
      <c r="R12" s="1" t="s">
        <v>73</v>
      </c>
      <c r="S12" s="1" t="s">
        <v>73</v>
      </c>
      <c r="Z12" s="1" t="s">
        <v>73</v>
      </c>
      <c r="AA12" s="1" t="s">
        <v>73</v>
      </c>
      <c r="AB12"/>
      <c r="AD12"/>
      <c r="AG12"/>
      <c r="AH12"/>
      <c r="AI12"/>
      <c r="AJ12"/>
      <c r="AK12" s="1" t="s">
        <v>73</v>
      </c>
      <c r="AL12" s="1" t="s">
        <v>72</v>
      </c>
      <c r="AM12">
        <v>6</v>
      </c>
      <c r="AN12" s="1" t="s">
        <v>72</v>
      </c>
      <c r="AO12">
        <v>4</v>
      </c>
      <c r="AP12" s="1" t="s">
        <v>73</v>
      </c>
      <c r="AQ12"/>
      <c r="AR12" s="1" t="s">
        <v>72</v>
      </c>
      <c r="AS12">
        <v>6</v>
      </c>
      <c r="AT12" t="s">
        <v>73</v>
      </c>
      <c r="AW12" s="1">
        <v>25</v>
      </c>
      <c r="AX12" s="1">
        <v>1</v>
      </c>
      <c r="AY12" t="s">
        <v>73</v>
      </c>
      <c r="AZ12" t="s">
        <v>73</v>
      </c>
      <c r="BA12" s="61" t="s">
        <v>73</v>
      </c>
      <c r="BB12">
        <v>1812</v>
      </c>
      <c r="BC12" s="87">
        <v>45630.948182870372</v>
      </c>
      <c r="BD12" s="87">
        <v>45631.711759259262</v>
      </c>
      <c r="BE12" t="s">
        <v>73</v>
      </c>
      <c r="BF12" t="s">
        <v>73</v>
      </c>
      <c r="BG12" t="s">
        <v>73</v>
      </c>
      <c r="BH12" t="s">
        <v>73</v>
      </c>
      <c r="BI12" t="s">
        <v>73</v>
      </c>
      <c r="BJ12" t="s">
        <v>73</v>
      </c>
      <c r="BL12" t="s">
        <v>73</v>
      </c>
      <c r="BM12" t="s">
        <v>73</v>
      </c>
      <c r="BN12" t="s">
        <v>73</v>
      </c>
      <c r="BO12" t="s">
        <v>73</v>
      </c>
      <c r="BP12" t="s">
        <v>73</v>
      </c>
      <c r="BQ12" s="1" t="s">
        <v>73</v>
      </c>
      <c r="BR12" s="1"/>
      <c r="BS12" s="1" t="s">
        <v>73</v>
      </c>
      <c r="BT12" s="1" t="s">
        <v>73</v>
      </c>
      <c r="BU12" s="1" t="s">
        <v>73</v>
      </c>
      <c r="BV12" s="1" t="s">
        <v>73</v>
      </c>
      <c r="BW12" s="1"/>
      <c r="BX12"/>
      <c r="BY12"/>
      <c r="BZ12"/>
      <c r="CA12"/>
      <c r="CB12"/>
      <c r="CC12"/>
      <c r="CD12"/>
    </row>
    <row r="13" spans="1:85" ht="16" thickTop="1" x14ac:dyDescent="0.2">
      <c r="A13" t="s">
        <v>79</v>
      </c>
      <c r="C13">
        <f>SUBTOTAL(103,KDRvNB[Naam vereniging])</f>
        <v>6</v>
      </c>
      <c r="D13" s="1">
        <f>COUNTIF(KDRvNB[Delegatie],"x")</f>
        <v>1</v>
      </c>
      <c r="E13" s="16">
        <f>COUNTIF(KDRvNB[Muziekkorps bij mars en defilé],"x")</f>
        <v>6</v>
      </c>
      <c r="F13" s="16">
        <f>COUNTIF(KDRvNB[Deeln. jeugdkoningschieten],"x")</f>
        <v>4</v>
      </c>
      <c r="G13" s="16">
        <f>COUNTIF(KDRvNB[Maj. Senioren jureren bij mars],"x")</f>
        <v>0</v>
      </c>
      <c r="H13" s="16">
        <f>COUNTIF(KDRvNB[Maj. Jeugd jureren bij mars],"x")</f>
        <v>0</v>
      </c>
      <c r="I13" s="1">
        <f>SUBTOTAL(103,KDRvNB[Korps senioren])</f>
        <v>3</v>
      </c>
      <c r="J13" s="1">
        <f>SUBTOTAL(103,KDRvNB[Junioren korps 1])</f>
        <v>1</v>
      </c>
      <c r="K13" s="1">
        <f>SUBTOTAL(103,KDRvNB[Junioren korps 2])</f>
        <v>0</v>
      </c>
      <c r="L13" s="1">
        <f>SUBTOTAL(103,KDRvNB[Aspiranten korps 1])</f>
        <v>1</v>
      </c>
      <c r="M13" s="1">
        <f>SUBTOTAL(103,KDRvNB[Aspiranten korps 2])</f>
        <v>0</v>
      </c>
      <c r="N13" s="1">
        <f>SUBTOTAL(103,KDRvNB[Acrobatisch senioren])</f>
        <v>1</v>
      </c>
      <c r="O13" s="1">
        <f>SUBTOTAL(103,KDRvNB[Acrobatisch junioren])</f>
        <v>0</v>
      </c>
      <c r="P13" s="1">
        <f>SUBTOTAL(103,KDRvNB[Acrobatisch aspiranten])</f>
        <v>0</v>
      </c>
      <c r="T13" s="79">
        <f>SUBTOTAL(109,KDRvNB[Senioren indiv.])</f>
        <v>8</v>
      </c>
      <c r="U13" s="79">
        <f>SUBTOTAL(109,KDRvNB[Junioren indiv.])</f>
        <v>5</v>
      </c>
      <c r="V13" s="1">
        <f>SUBTOTAL(109,KDRvNB[Aspiranten indiv.])</f>
        <v>5</v>
      </c>
      <c r="W13" s="1">
        <f>SUBTOTAL(109,KDRvNB[Sen. ind opgegeven namen])</f>
        <v>8</v>
      </c>
      <c r="X13" s="1">
        <f>SUBTOTAL(109,KDRvNB[Jun. ind opgegeven namen])</f>
        <v>5</v>
      </c>
      <c r="Y13" s="1">
        <f>SUBTOTAL(109,KDRvNB[Asp. ind opgegeven namen])</f>
        <v>5</v>
      </c>
      <c r="Z13" s="16">
        <f>COUNTIF(KDRvNB[Hoofdkorps],"x")</f>
        <v>2</v>
      </c>
      <c r="AA13" s="120">
        <f>COUNTIF(KDRvNB[2e korps],"x")</f>
        <v>0</v>
      </c>
      <c r="AB13" s="1">
        <f>SUBTOTAL(109,KDRvNB[Groepen, teams, ensembles en duo''s])</f>
        <v>0</v>
      </c>
      <c r="AC13" s="1">
        <f>SUBTOTAL(109,KDRvNB[Senioren])</f>
        <v>0</v>
      </c>
      <c r="AD13" s="1">
        <f>SUBTOTAL(109,KDRvNB[Jong volwassene])</f>
        <v>0</v>
      </c>
      <c r="AE13" s="1">
        <f>SUBTOTAL(109,KDRvNB[Junioren])</f>
        <v>0</v>
      </c>
      <c r="AF13" s="1">
        <f>SUBTOTAL(109,KDRvNB[Aspiranten])</f>
        <v>0</v>
      </c>
      <c r="AG13" s="1">
        <f>SUBTOTAL(109,KDRvNB[Opgegeven senioren])</f>
        <v>0</v>
      </c>
      <c r="AH13" s="1">
        <f>SUBTOTAL(109,KDRvNB[Opgegeven jong volwassene])</f>
        <v>0</v>
      </c>
      <c r="AI13" s="1">
        <f>SUBTOTAL(109,KDRvNB[Opgegeven junioren])</f>
        <v>0</v>
      </c>
      <c r="AJ13" s="1">
        <f>SUBTOTAL(109,KDRvNB[Opgegeven aspiranten])</f>
        <v>0</v>
      </c>
      <c r="AK13" s="1">
        <f>COUNTIF(KDRvNB[Marketentsters],"x")</f>
        <v>1</v>
      </c>
      <c r="AL13" s="1">
        <f>COUNTIF(KDRvNB[Luchtgeweer],"x")</f>
        <v>3</v>
      </c>
      <c r="AM13" s="1">
        <f>SUBTOTAL(109,KDRvNB[Aantal luchtgeweerschutters])</f>
        <v>18</v>
      </c>
      <c r="AN13" s="1">
        <f>COUNTIF(KDRvNB[Luchtpistool],"x")</f>
        <v>3</v>
      </c>
      <c r="AO13" s="1">
        <f>SUBTOTAL(109,KDRvNB[Aantal luchtpistoolschutters])</f>
        <v>16</v>
      </c>
      <c r="AP13" s="1">
        <f>COUNTIF(KDRvNB[Handboog],"x")</f>
        <v>0</v>
      </c>
      <c r="AQ13" s="1">
        <f>SUBTOTAL(109,KDRvNB[Aantal handboogschutters])</f>
        <v>0</v>
      </c>
      <c r="AR13" s="1">
        <f>COUNTIF(KDRvNB[Kruisboog],"x")</f>
        <v>3</v>
      </c>
      <c r="AS13" s="1">
        <f>SUBTOTAL(109,KDRvNB[Aantal kruisboogschutters])</f>
        <v>15</v>
      </c>
      <c r="AT13" s="1">
        <f>COUNTIF(KDRvNB[Luchtgeweer jeugd niet ouder dan 17 jaar.],"x")</f>
        <v>1</v>
      </c>
      <c r="AU13" s="1">
        <f>SUBTOTAL(109,KDRvNB[Aantal korpsen])</f>
        <v>3</v>
      </c>
      <c r="AV13" s="1">
        <f>SUBTOTAL(109,KDRvNB[Opgegeven jeugdkorpsen LG])</f>
        <v>0</v>
      </c>
      <c r="AW13" s="1">
        <f>SUBTOTAL(109,KDRvNB[Totaal aantal deelnemers])</f>
        <v>219</v>
      </c>
      <c r="AX13" s="1">
        <f>SUBTOTAL(109,KDRvNB[Waarvan aantal jeugd (t/m 15 jaar)])</f>
        <v>52</v>
      </c>
      <c r="AY13" s="86">
        <f>COUNTIF(KDRvNB[Kanon etc.],"x")</f>
        <v>0</v>
      </c>
      <c r="AZ13" s="1">
        <f>COUNTIF(KDRvNB[Paarden en/of koetsen],"x")</f>
        <v>0</v>
      </c>
      <c r="BA13" s="63"/>
      <c r="BB13" s="1"/>
      <c r="BC13" s="1"/>
      <c r="BD13" s="1"/>
      <c r="BE13" s="1"/>
      <c r="BF13" s="1"/>
      <c r="BG13" s="1"/>
      <c r="BH13" s="1"/>
      <c r="BI13" s="1"/>
      <c r="BJ13" s="1"/>
      <c r="BK13" s="1"/>
      <c r="BL13" s="1"/>
      <c r="BM13" s="1"/>
      <c r="BN13" s="1"/>
      <c r="BO13" s="1"/>
      <c r="BP13" s="1"/>
      <c r="BQ13" s="1"/>
      <c r="BR13" s="1"/>
      <c r="BS13" s="1"/>
      <c r="BT13" s="1"/>
      <c r="BU13" s="1"/>
      <c r="BV13" s="1"/>
      <c r="BW13" s="1">
        <f>SUBTOTAL(109,KDRvNB[Aantal opgegeven majorettes])</f>
        <v>0</v>
      </c>
      <c r="BX13"/>
      <c r="BY13"/>
      <c r="BZ13"/>
      <c r="CA13"/>
      <c r="CB13"/>
      <c r="CC13"/>
      <c r="CD13"/>
    </row>
    <row r="14" spans="1:85" x14ac:dyDescent="0.2">
      <c r="BX14"/>
      <c r="BY14"/>
      <c r="BZ14"/>
      <c r="CA14"/>
      <c r="CB14"/>
      <c r="CC14"/>
      <c r="CD14"/>
    </row>
    <row r="15" spans="1:85" x14ac:dyDescent="0.2">
      <c r="D15" s="70"/>
      <c r="BX15"/>
      <c r="BY15"/>
      <c r="BZ15"/>
      <c r="CA15"/>
      <c r="CB15"/>
      <c r="CC15"/>
      <c r="CD15"/>
    </row>
    <row r="16" spans="1:85" x14ac:dyDescent="0.2">
      <c r="BX16"/>
      <c r="BY16"/>
      <c r="BZ16"/>
      <c r="CA16"/>
      <c r="CB16"/>
      <c r="CC16"/>
      <c r="CD16"/>
    </row>
    <row r="17" spans="76:82" x14ac:dyDescent="0.2">
      <c r="BX17"/>
      <c r="BY17"/>
      <c r="BZ17"/>
      <c r="CA17"/>
      <c r="CB17"/>
      <c r="CC17"/>
      <c r="CD17"/>
    </row>
    <row r="18" spans="76:82" x14ac:dyDescent="0.2">
      <c r="BX18"/>
      <c r="BY18"/>
      <c r="BZ18"/>
      <c r="CA18"/>
      <c r="CB18"/>
      <c r="CC18"/>
      <c r="CD18"/>
    </row>
    <row r="19" spans="76:82" x14ac:dyDescent="0.2">
      <c r="BX19"/>
      <c r="BY19"/>
      <c r="BZ19"/>
      <c r="CA19"/>
      <c r="CB19"/>
      <c r="CC19"/>
      <c r="CD19"/>
    </row>
    <row r="20" spans="76:82" x14ac:dyDescent="0.2">
      <c r="BX20"/>
      <c r="BY20"/>
      <c r="BZ20"/>
      <c r="CA20"/>
      <c r="CB20"/>
      <c r="CC20"/>
      <c r="CD20"/>
    </row>
    <row r="21" spans="76:82" x14ac:dyDescent="0.2">
      <c r="BX21"/>
      <c r="BY21"/>
      <c r="BZ21"/>
      <c r="CA21"/>
      <c r="CB21"/>
      <c r="CC21"/>
      <c r="CD21"/>
    </row>
    <row r="22" spans="76:82" x14ac:dyDescent="0.2">
      <c r="BX22"/>
      <c r="BY22"/>
      <c r="BZ22"/>
      <c r="CA22"/>
      <c r="CB22"/>
      <c r="CC22"/>
      <c r="CD22"/>
    </row>
    <row r="23" spans="76:82" x14ac:dyDescent="0.2">
      <c r="BX23"/>
      <c r="BY23"/>
      <c r="BZ23"/>
      <c r="CA23"/>
      <c r="CB23"/>
      <c r="CC23"/>
      <c r="CD23"/>
    </row>
  </sheetData>
  <mergeCells count="15">
    <mergeCell ref="A1:BW1"/>
    <mergeCell ref="A2:BW2"/>
    <mergeCell ref="D3:H3"/>
    <mergeCell ref="BL4:BR4"/>
    <mergeCell ref="I3:Y3"/>
    <mergeCell ref="Z3:AA3"/>
    <mergeCell ref="AL3:AV3"/>
    <mergeCell ref="BE3:BR3"/>
    <mergeCell ref="I4:M4"/>
    <mergeCell ref="N4:P4"/>
    <mergeCell ref="Q4:S4"/>
    <mergeCell ref="T4:Y4"/>
    <mergeCell ref="BE4:BK4"/>
    <mergeCell ref="AW3:BD3"/>
    <mergeCell ref="BS3:BW3"/>
  </mergeCells>
  <phoneticPr fontId="2" type="noConversion"/>
  <conditionalFormatting sqref="W6:W12">
    <cfRule type="expression" dxfId="19" priority="1">
      <formula>$T6-$W6&lt;&gt;0</formula>
    </cfRule>
  </conditionalFormatting>
  <conditionalFormatting sqref="X6:X12">
    <cfRule type="expression" dxfId="18" priority="2">
      <formula>$U6-$X6&lt;&gt;0</formula>
    </cfRule>
  </conditionalFormatting>
  <conditionalFormatting sqref="Y6:Y12">
    <cfRule type="expression" dxfId="17" priority="3">
      <formula>$V6-$Y6&lt;&gt;0</formula>
    </cfRule>
  </conditionalFormatting>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911A6-DC29-41D3-89D3-279D4FA48D93}">
  <dimension ref="A1:CJ11"/>
  <sheetViews>
    <sheetView workbookViewId="0">
      <selection activeCell="A6" sqref="A6:BM29"/>
    </sheetView>
  </sheetViews>
  <sheetFormatPr baseColWidth="10" defaultColWidth="9.1640625" defaultRowHeight="15" x14ac:dyDescent="0.2"/>
  <cols>
    <col min="1" max="1" width="10.33203125" bestFit="1" customWidth="1"/>
    <col min="2" max="2" width="8.6640625" bestFit="1" customWidth="1"/>
    <col min="3" max="3" width="16.5" bestFit="1" customWidth="1"/>
    <col min="4" max="9" width="8.5" bestFit="1" customWidth="1"/>
    <col min="10" max="11" width="16.33203125" bestFit="1" customWidth="1"/>
    <col min="12" max="13" width="18" bestFit="1" customWidth="1"/>
    <col min="14" max="14" width="8.5" bestFit="1" customWidth="1"/>
    <col min="15" max="17" width="7.6640625" hidden="1" customWidth="1"/>
    <col min="18" max="23" width="8.5" style="1" bestFit="1" customWidth="1"/>
    <col min="24" max="25" width="8.5" bestFit="1" customWidth="1"/>
    <col min="26" max="27" width="8.5" style="1" bestFit="1" customWidth="1"/>
    <col min="28" max="28" width="32.5" style="1" bestFit="1" customWidth="1"/>
    <col min="29" max="29" width="8.5" style="1" bestFit="1" customWidth="1"/>
    <col min="30" max="30" width="16.33203125" style="1" bestFit="1" customWidth="1"/>
    <col min="31" max="32" width="8.5" style="1" bestFit="1" customWidth="1"/>
    <col min="33" max="33" width="19.6640625" style="1" bestFit="1" customWidth="1"/>
    <col min="34" max="34" width="25.5" style="1" bestFit="1" customWidth="1"/>
    <col min="35" max="35" width="19.5" style="1" bestFit="1" customWidth="1"/>
    <col min="36" max="36" width="21" style="1" bestFit="1" customWidth="1"/>
    <col min="37" max="38" width="8.5" style="1" bestFit="1" customWidth="1"/>
    <col min="39" max="39" width="26.33203125" style="1" bestFit="1" customWidth="1"/>
    <col min="40" max="40" width="8.5" bestFit="1" customWidth="1"/>
    <col min="41" max="41" width="25.83203125" bestFit="1" customWidth="1"/>
    <col min="42" max="42" width="8.5" bestFit="1" customWidth="1"/>
    <col min="43" max="43" width="24.1640625" bestFit="1" customWidth="1"/>
    <col min="44" max="44" width="8.5" style="61" bestFit="1" customWidth="1"/>
    <col min="45" max="45" width="24" bestFit="1" customWidth="1"/>
    <col min="46" max="46" width="36.83203125" bestFit="1" customWidth="1"/>
    <col min="47" max="47" width="15.1640625" bestFit="1" customWidth="1"/>
    <col min="48" max="48" width="25.83203125" bestFit="1" customWidth="1"/>
    <col min="49" max="52" width="8.5" bestFit="1" customWidth="1"/>
    <col min="53" max="53" width="23.6640625" style="1" bestFit="1" customWidth="1"/>
    <col min="54" max="54" width="8.5" bestFit="1" customWidth="1"/>
    <col min="55" max="56" width="15" bestFit="1" customWidth="1"/>
    <col min="57" max="57" width="12.1640625" bestFit="1" customWidth="1"/>
    <col min="58" max="58" width="8.5" bestFit="1" customWidth="1"/>
    <col min="59" max="59" width="19.5" bestFit="1" customWidth="1"/>
    <col min="60" max="60" width="28.83203125" bestFit="1" customWidth="1"/>
    <col min="61" max="75" width="8.5" bestFit="1" customWidth="1"/>
    <col min="76" max="76" width="8" bestFit="1" customWidth="1"/>
    <col min="77" max="77" width="8.5" bestFit="1" customWidth="1"/>
    <col min="78" max="85" width="7.6640625" bestFit="1" customWidth="1"/>
    <col min="86" max="86" width="12.6640625" bestFit="1" customWidth="1"/>
    <col min="87" max="87" width="25" customWidth="1"/>
    <col min="88" max="88" width="15.6640625" bestFit="1" customWidth="1"/>
  </cols>
  <sheetData>
    <row r="1" spans="1:88" ht="27" customHeight="1" x14ac:dyDescent="0.2">
      <c r="A1" s="142" t="s">
        <v>84</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c r="BX1" s="142"/>
      <c r="BY1" s="142"/>
      <c r="BZ1" s="142"/>
      <c r="CA1" s="142"/>
      <c r="CB1" s="142"/>
      <c r="CC1" s="142"/>
      <c r="CD1" s="142"/>
      <c r="CE1" s="142"/>
      <c r="CF1" s="142"/>
      <c r="CG1" s="142"/>
      <c r="CH1" s="72"/>
      <c r="CI1" s="72"/>
      <c r="CJ1" s="72"/>
    </row>
    <row r="2" spans="1:88" ht="20" thickBot="1" x14ac:dyDescent="0.3">
      <c r="A2" s="143" t="s">
        <v>85</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c r="BX2" s="143"/>
      <c r="BY2" s="143"/>
      <c r="BZ2" s="143"/>
      <c r="CA2" s="143"/>
      <c r="CB2" s="143"/>
      <c r="CC2" s="143"/>
      <c r="CD2" s="143"/>
      <c r="CE2" s="143"/>
      <c r="CF2" s="143"/>
      <c r="CG2" s="143"/>
      <c r="CH2" s="73"/>
      <c r="CI2" s="73"/>
      <c r="CJ2" s="73"/>
    </row>
    <row r="3" spans="1:88" ht="16" thickBot="1" x14ac:dyDescent="0.25">
      <c r="A3" s="20"/>
      <c r="B3" s="21"/>
      <c r="C3" s="22"/>
      <c r="D3" s="133" t="s">
        <v>1</v>
      </c>
      <c r="E3" s="134"/>
      <c r="F3" s="134"/>
      <c r="G3" s="134"/>
      <c r="H3" s="135"/>
      <c r="I3" s="136" t="s">
        <v>2</v>
      </c>
      <c r="J3" s="137"/>
      <c r="K3" s="137"/>
      <c r="L3" s="137"/>
      <c r="M3" s="137"/>
      <c r="N3" s="137"/>
      <c r="O3" s="137"/>
      <c r="P3" s="137"/>
      <c r="Q3" s="137"/>
      <c r="R3" s="137"/>
      <c r="S3" s="137"/>
      <c r="T3" s="137"/>
      <c r="U3" s="137"/>
      <c r="V3" s="137"/>
      <c r="W3" s="138"/>
      <c r="X3" s="133" t="s">
        <v>3</v>
      </c>
      <c r="Y3" s="135"/>
      <c r="Z3" s="26" t="s">
        <v>4</v>
      </c>
      <c r="AA3" s="150" t="s">
        <v>5</v>
      </c>
      <c r="AB3" s="151"/>
      <c r="AC3" s="151"/>
      <c r="AD3" s="151"/>
      <c r="AE3" s="151"/>
      <c r="AF3" s="152"/>
      <c r="AG3" s="26" t="s">
        <v>6</v>
      </c>
      <c r="AH3" s="133" t="s">
        <v>7</v>
      </c>
      <c r="AI3" s="134"/>
      <c r="AJ3" s="134"/>
      <c r="AK3" s="134"/>
      <c r="AL3" s="134"/>
      <c r="AM3" s="135"/>
      <c r="AN3" s="133" t="s">
        <v>8</v>
      </c>
      <c r="AO3" s="134"/>
      <c r="AP3" s="134"/>
      <c r="AQ3" s="134"/>
      <c r="AR3" s="134"/>
      <c r="AS3" s="134"/>
      <c r="AT3" s="135"/>
      <c r="AU3" s="136" t="s">
        <v>9</v>
      </c>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8"/>
      <c r="CC3" s="150" t="s">
        <v>10</v>
      </c>
      <c r="CD3" s="151"/>
      <c r="CE3" s="151"/>
      <c r="CF3" s="151"/>
      <c r="CG3" s="152"/>
      <c r="CH3" s="74"/>
      <c r="CI3" s="74"/>
      <c r="CJ3" s="74"/>
    </row>
    <row r="4" spans="1:88" ht="16" thickBot="1" x14ac:dyDescent="0.25">
      <c r="A4" s="23"/>
      <c r="B4" s="24"/>
      <c r="C4" s="25"/>
      <c r="D4" s="23"/>
      <c r="E4" s="24"/>
      <c r="F4" s="24"/>
      <c r="G4" s="24"/>
      <c r="H4" s="25"/>
      <c r="I4" s="136" t="s">
        <v>11</v>
      </c>
      <c r="J4" s="137"/>
      <c r="K4" s="138"/>
      <c r="L4" s="136" t="s">
        <v>12</v>
      </c>
      <c r="M4" s="137"/>
      <c r="N4" s="138"/>
      <c r="O4" s="136" t="s">
        <v>13</v>
      </c>
      <c r="P4" s="137"/>
      <c r="Q4" s="138"/>
      <c r="R4" s="136" t="s">
        <v>14</v>
      </c>
      <c r="S4" s="137"/>
      <c r="T4" s="137"/>
      <c r="U4" s="137"/>
      <c r="V4" s="137"/>
      <c r="W4" s="138"/>
      <c r="X4" s="23"/>
      <c r="Y4" s="25"/>
      <c r="Z4" s="27"/>
      <c r="AA4" s="23"/>
      <c r="AB4" s="24"/>
      <c r="AC4" s="24"/>
      <c r="AD4" s="24"/>
      <c r="AE4" s="24"/>
      <c r="AF4" s="25"/>
      <c r="AG4" s="27"/>
      <c r="AH4" s="23"/>
      <c r="AI4" s="24"/>
      <c r="AJ4" s="24"/>
      <c r="AK4" s="24"/>
      <c r="AL4" s="24"/>
      <c r="AM4" s="25"/>
      <c r="AN4" s="23"/>
      <c r="AO4" s="24"/>
      <c r="AP4" s="24"/>
      <c r="AQ4" s="24"/>
      <c r="AR4" s="62"/>
      <c r="AS4" s="24"/>
      <c r="AT4" s="25"/>
      <c r="AU4" s="136" t="s">
        <v>15</v>
      </c>
      <c r="AV4" s="137"/>
      <c r="AW4" s="137"/>
      <c r="AX4" s="137"/>
      <c r="AY4" s="137"/>
      <c r="AZ4" s="137"/>
      <c r="BA4" s="138"/>
      <c r="BB4" s="136" t="s">
        <v>16</v>
      </c>
      <c r="BC4" s="137"/>
      <c r="BD4" s="137"/>
      <c r="BE4" s="137"/>
      <c r="BF4" s="137"/>
      <c r="BG4" s="137"/>
      <c r="BH4" s="137"/>
      <c r="BI4" s="137"/>
      <c r="BJ4" s="137"/>
      <c r="BK4" s="137"/>
      <c r="BL4" s="137"/>
      <c r="BM4" s="137"/>
      <c r="BN4" s="137"/>
      <c r="BO4" s="137"/>
      <c r="BP4" s="137"/>
      <c r="BQ4" s="137"/>
      <c r="BR4" s="137"/>
      <c r="BS4" s="137"/>
      <c r="BT4" s="137"/>
      <c r="BU4" s="137"/>
      <c r="BV4" s="137"/>
      <c r="BW4" s="137"/>
      <c r="BX4" s="137"/>
      <c r="BY4" s="137"/>
      <c r="BZ4" s="137"/>
      <c r="CA4" s="137"/>
      <c r="CB4" s="138"/>
      <c r="CC4" s="17"/>
      <c r="CD4" s="18"/>
      <c r="CE4" s="18"/>
      <c r="CF4" s="18"/>
      <c r="CG4" s="19"/>
      <c r="CH4" s="74"/>
      <c r="CI4" s="74"/>
      <c r="CJ4" s="74"/>
    </row>
    <row r="5" spans="1:88" ht="16" thickBot="1" x14ac:dyDescent="0.25"/>
    <row r="6" spans="1:88" ht="217" x14ac:dyDescent="0.2">
      <c r="A6" s="6" t="s">
        <v>17</v>
      </c>
      <c r="B6" s="51" t="s">
        <v>18</v>
      </c>
      <c r="C6" s="52" t="s">
        <v>19</v>
      </c>
      <c r="D6" s="4" t="s">
        <v>20</v>
      </c>
      <c r="E6" s="4" t="s">
        <v>21</v>
      </c>
      <c r="F6" s="4" t="s">
        <v>22</v>
      </c>
      <c r="G6" s="4" t="s">
        <v>23</v>
      </c>
      <c r="H6" s="4" t="s">
        <v>24</v>
      </c>
      <c r="I6" s="55" t="s">
        <v>25</v>
      </c>
      <c r="J6" t="s">
        <v>126</v>
      </c>
      <c r="K6" t="s">
        <v>127</v>
      </c>
      <c r="L6" t="s">
        <v>128</v>
      </c>
      <c r="M6" t="s">
        <v>129</v>
      </c>
      <c r="N6" s="55" t="s">
        <v>26</v>
      </c>
      <c r="O6" s="53" t="s">
        <v>27</v>
      </c>
      <c r="P6" s="54" t="s">
        <v>28</v>
      </c>
      <c r="Q6" s="55" t="s">
        <v>29</v>
      </c>
      <c r="R6" s="53" t="s">
        <v>30</v>
      </c>
      <c r="S6" s="54" t="s">
        <v>31</v>
      </c>
      <c r="T6" s="55" t="s">
        <v>32</v>
      </c>
      <c r="U6" s="53" t="s">
        <v>33</v>
      </c>
      <c r="V6" s="53" t="s">
        <v>34</v>
      </c>
      <c r="W6" s="56" t="s">
        <v>35</v>
      </c>
      <c r="X6" s="56" t="s">
        <v>36</v>
      </c>
      <c r="Y6" s="57" t="s">
        <v>37</v>
      </c>
      <c r="Z6" s="55" t="s">
        <v>15</v>
      </c>
      <c r="AA6" s="54" t="s">
        <v>16</v>
      </c>
      <c r="AB6" t="s">
        <v>110</v>
      </c>
      <c r="AC6" s="55" t="s">
        <v>38</v>
      </c>
      <c r="AD6" t="s">
        <v>111</v>
      </c>
      <c r="AE6" s="53" t="s">
        <v>39</v>
      </c>
      <c r="AF6" s="53" t="s">
        <v>40</v>
      </c>
      <c r="AG6" t="s">
        <v>112</v>
      </c>
      <c r="AH6" t="s">
        <v>113</v>
      </c>
      <c r="AI6" t="s">
        <v>114</v>
      </c>
      <c r="AJ6" t="s">
        <v>115</v>
      </c>
      <c r="AK6" s="58" t="s">
        <v>41</v>
      </c>
      <c r="AL6" s="55" t="s">
        <v>42</v>
      </c>
      <c r="AM6" t="s">
        <v>122</v>
      </c>
      <c r="AN6" s="53" t="s">
        <v>43</v>
      </c>
      <c r="AO6" t="s">
        <v>123</v>
      </c>
      <c r="AP6" s="53" t="s">
        <v>45</v>
      </c>
      <c r="AQ6" t="s">
        <v>124</v>
      </c>
      <c r="AR6" s="53" t="s">
        <v>44</v>
      </c>
      <c r="AS6" t="s">
        <v>125</v>
      </c>
      <c r="AT6" t="s">
        <v>116</v>
      </c>
      <c r="AU6" t="s">
        <v>117</v>
      </c>
      <c r="AV6" t="s">
        <v>118</v>
      </c>
      <c r="AW6" s="55" t="s">
        <v>46</v>
      </c>
      <c r="AX6" s="53" t="s">
        <v>47</v>
      </c>
      <c r="AY6" s="53" t="s">
        <v>48</v>
      </c>
      <c r="AZ6" s="53" t="s">
        <v>49</v>
      </c>
      <c r="BA6" s="64" t="s">
        <v>50</v>
      </c>
      <c r="BB6" s="53" t="s">
        <v>51</v>
      </c>
      <c r="BC6" s="54" t="s">
        <v>52</v>
      </c>
      <c r="BD6" t="s">
        <v>108</v>
      </c>
      <c r="BE6" s="55" t="s">
        <v>53</v>
      </c>
      <c r="BF6" s="53" t="s">
        <v>54</v>
      </c>
      <c r="BG6" s="53" t="s">
        <v>55</v>
      </c>
      <c r="BH6" s="53" t="s">
        <v>56</v>
      </c>
      <c r="BI6" s="53" t="s">
        <v>57</v>
      </c>
      <c r="BJ6" s="53" t="s">
        <v>58</v>
      </c>
      <c r="BK6" s="54" t="s">
        <v>59</v>
      </c>
      <c r="BL6" s="55" t="s">
        <v>60</v>
      </c>
      <c r="BM6" s="53" t="s">
        <v>61</v>
      </c>
      <c r="BN6" s="53" t="s">
        <v>62</v>
      </c>
      <c r="BO6" s="53" t="s">
        <v>63</v>
      </c>
      <c r="BP6" s="53" t="s">
        <v>64</v>
      </c>
      <c r="BQ6" s="53" t="s">
        <v>65</v>
      </c>
      <c r="BR6" s="54" t="s">
        <v>66</v>
      </c>
      <c r="BS6" s="53" t="s">
        <v>70</v>
      </c>
      <c r="BT6" s="55" t="s">
        <v>67</v>
      </c>
      <c r="BU6" s="53" t="s">
        <v>68</v>
      </c>
      <c r="BV6" s="53" t="s">
        <v>69</v>
      </c>
      <c r="BW6" s="54" t="s">
        <v>71</v>
      </c>
    </row>
    <row r="7" spans="1:88" ht="16" x14ac:dyDescent="0.2">
      <c r="A7" s="15" t="s">
        <v>119</v>
      </c>
      <c r="B7" s="15" t="s">
        <v>184</v>
      </c>
      <c r="C7" s="15" t="s">
        <v>109</v>
      </c>
      <c r="D7" s="15" t="s">
        <v>73</v>
      </c>
      <c r="E7" s="15" t="s">
        <v>72</v>
      </c>
      <c r="F7" s="15" t="s">
        <v>72</v>
      </c>
      <c r="G7" s="15" t="s">
        <v>72</v>
      </c>
      <c r="H7" s="15" t="s">
        <v>74</v>
      </c>
      <c r="I7" s="15">
        <v>6</v>
      </c>
      <c r="J7">
        <v>4</v>
      </c>
      <c r="K7">
        <v>3</v>
      </c>
      <c r="L7">
        <v>4</v>
      </c>
      <c r="N7" s="15"/>
      <c r="O7" s="15"/>
      <c r="P7" s="15"/>
      <c r="Q7" s="15" t="s">
        <v>73</v>
      </c>
      <c r="R7" s="15" t="s">
        <v>73</v>
      </c>
      <c r="S7" s="15" t="s">
        <v>73</v>
      </c>
      <c r="T7" s="16">
        <v>6</v>
      </c>
      <c r="U7" s="16">
        <v>5</v>
      </c>
      <c r="V7" s="16">
        <v>4</v>
      </c>
      <c r="W7" s="16">
        <v>6</v>
      </c>
      <c r="X7" s="16">
        <v>5</v>
      </c>
      <c r="Y7" s="16">
        <v>4</v>
      </c>
      <c r="Z7" s="15" t="s">
        <v>72</v>
      </c>
      <c r="AA7" s="15" t="s">
        <v>73</v>
      </c>
      <c r="AB7">
        <v>1</v>
      </c>
      <c r="AC7" s="16">
        <v>10</v>
      </c>
      <c r="AD7">
        <v>5</v>
      </c>
      <c r="AE7" s="16">
        <v>4</v>
      </c>
      <c r="AF7" s="16">
        <v>3</v>
      </c>
      <c r="AG7">
        <v>10</v>
      </c>
      <c r="AH7">
        <v>5</v>
      </c>
      <c r="AI7">
        <v>4</v>
      </c>
      <c r="AJ7">
        <v>3</v>
      </c>
      <c r="AK7" s="16" t="s">
        <v>72</v>
      </c>
      <c r="AL7" s="16" t="s">
        <v>72</v>
      </c>
      <c r="AM7">
        <v>6</v>
      </c>
      <c r="AN7" s="16" t="s">
        <v>72</v>
      </c>
      <c r="AO7">
        <v>6</v>
      </c>
      <c r="AP7" s="16" t="s">
        <v>72</v>
      </c>
      <c r="AQ7">
        <v>5</v>
      </c>
      <c r="AR7" s="16" t="s">
        <v>72</v>
      </c>
      <c r="AS7">
        <v>6</v>
      </c>
      <c r="AT7" t="s">
        <v>72</v>
      </c>
      <c r="AU7">
        <v>2</v>
      </c>
      <c r="AV7">
        <v>2</v>
      </c>
      <c r="AW7" s="15">
        <v>100</v>
      </c>
      <c r="AX7" s="15">
        <v>25</v>
      </c>
      <c r="AY7" s="15" t="s">
        <v>73</v>
      </c>
      <c r="AZ7" s="15" t="s">
        <v>73</v>
      </c>
      <c r="BA7" s="60" t="s">
        <v>73</v>
      </c>
      <c r="BB7" s="15">
        <v>1804</v>
      </c>
      <c r="BC7" s="59">
        <v>45523.539861111109</v>
      </c>
      <c r="BD7" s="87">
        <v>45527.790335648147</v>
      </c>
      <c r="BE7" s="15" t="s">
        <v>109</v>
      </c>
      <c r="BF7" s="15" t="s">
        <v>78</v>
      </c>
      <c r="BG7" s="15" t="s">
        <v>76</v>
      </c>
      <c r="BH7" s="15" t="s">
        <v>77</v>
      </c>
      <c r="BI7" s="15" t="s">
        <v>120</v>
      </c>
      <c r="BJ7" s="15" t="s">
        <v>121</v>
      </c>
      <c r="BK7" s="16">
        <v>15</v>
      </c>
      <c r="BL7" s="15" t="s">
        <v>73</v>
      </c>
      <c r="BM7" s="15" t="s">
        <v>73</v>
      </c>
      <c r="BN7" s="15" t="s">
        <v>73</v>
      </c>
      <c r="BO7" s="15" t="s">
        <v>73</v>
      </c>
      <c r="BP7" s="15" t="s">
        <v>73</v>
      </c>
      <c r="BQ7" s="15" t="s">
        <v>73</v>
      </c>
      <c r="BR7" s="15"/>
      <c r="BS7" s="15" t="s">
        <v>75</v>
      </c>
      <c r="BT7" s="15" t="s">
        <v>196</v>
      </c>
      <c r="BU7" s="15" t="s">
        <v>197</v>
      </c>
      <c r="BV7" s="15" t="s">
        <v>199</v>
      </c>
      <c r="BW7" s="15">
        <v>9</v>
      </c>
    </row>
    <row r="8" spans="1:88" x14ac:dyDescent="0.2">
      <c r="A8" s="28" t="s">
        <v>79</v>
      </c>
      <c r="B8" s="28"/>
      <c r="C8" s="28">
        <f>SUBTOTAL(103,LJ[Naam vereniging])</f>
        <v>1</v>
      </c>
      <c r="D8" s="29">
        <f>COUNTIF(LJ[Delegatie],"x")</f>
        <v>0</v>
      </c>
      <c r="E8" s="29">
        <f>COUNTIF(LJ[Muziekkorps bij mars en defilé],"x")</f>
        <v>1</v>
      </c>
      <c r="F8" s="29">
        <f>COUNTIF(LJ[Deeln. jeugdkoningschieten],"x")</f>
        <v>1</v>
      </c>
      <c r="G8" s="29">
        <f>COUNTIF(LJ[Maj. Senioren jureren bij mars],"x")</f>
        <v>1</v>
      </c>
      <c r="H8" s="29">
        <f>COUNTIF(LJ[Maj. Jeugd jureren bij mars]," x")</f>
        <v>1</v>
      </c>
      <c r="I8" s="29">
        <f>COUNTIF(LJ[Korps senioren],"x")</f>
        <v>0</v>
      </c>
      <c r="J8" s="29" t="e">
        <f>COUNTIF(#REF!,"x")</f>
        <v>#REF!</v>
      </c>
      <c r="K8" s="29" t="e">
        <f>COUNTIF(#REF!,"x")</f>
        <v>#REF!</v>
      </c>
      <c r="L8" s="29">
        <f>COUNTIF(LJ[Acrobatisch senioren],"x")</f>
        <v>0</v>
      </c>
      <c r="M8" s="29">
        <f>COUNTIF(LJ[Acrobatisch junioren],"x")</f>
        <v>0</v>
      </c>
      <c r="N8" s="29">
        <f>COUNTIF(LJ[Acrobatisch aspiranten],"x")</f>
        <v>0</v>
      </c>
      <c r="O8" s="29">
        <f>COUNTIF(LJ[Show senioren],"x")</f>
        <v>0</v>
      </c>
      <c r="P8" s="29">
        <f>COUNTIF(LJ[Show junioren],"x")</f>
        <v>0</v>
      </c>
      <c r="Q8" s="29">
        <f>COUNTIF(LJ[Show aspiranten],"x")</f>
        <v>0</v>
      </c>
      <c r="R8" s="29">
        <f>SUBTOTAL(109,LJ[Senioren indiv.])</f>
        <v>6</v>
      </c>
      <c r="S8" s="29">
        <f>SUBTOTAL(109,LJ[Junioren indiv.])</f>
        <v>5</v>
      </c>
      <c r="T8" s="29">
        <f>SUBTOTAL(109,LJ[Aspiranten indiv.])</f>
        <v>4</v>
      </c>
      <c r="U8" s="29">
        <f>SUBTOTAL(109,LJ[Sen. ind opgegeven namen])</f>
        <v>6</v>
      </c>
      <c r="V8" s="29">
        <f>SUBTOTAL(109,LJ[Jun. ind opgegeven namen])</f>
        <v>5</v>
      </c>
      <c r="W8" s="29">
        <f>SUBTOTAL(109,LJ[Asp. ind opgegeven namen])</f>
        <v>4</v>
      </c>
      <c r="X8" s="29">
        <f>COUNTIF(LJ[Hoofdkorps],"x")</f>
        <v>1</v>
      </c>
      <c r="Y8" s="29">
        <f>COUNTIF(LJ[2e korps],"x")</f>
        <v>0</v>
      </c>
      <c r="Z8" s="29" t="e">
        <f>SUBTOTAL(109,#REF!)</f>
        <v>#REF!</v>
      </c>
      <c r="AA8" s="29">
        <f>SUBTOTAL(109,LJ[Senioren])</f>
        <v>10</v>
      </c>
      <c r="AB8" s="29">
        <f>SUBTOTAL(109,LJ[Junioren])</f>
        <v>4</v>
      </c>
      <c r="AC8" s="29">
        <f>SUBTOTAL(109,LJ[Aspiranten])</f>
        <v>3</v>
      </c>
      <c r="AD8" s="29" t="e">
        <f>SUBTOTAL(109,#REF!)</f>
        <v>#REF!</v>
      </c>
      <c r="AE8" s="29" t="e">
        <f>SUBTOTAL(109,#REF!)</f>
        <v>#REF!</v>
      </c>
      <c r="AF8" s="29" t="e">
        <f>SUBTOTAL(109,#REF!)</f>
        <v>#REF!</v>
      </c>
      <c r="AG8" s="29">
        <f>COUNTIF(LJ[Marketentsters],"x")</f>
        <v>1</v>
      </c>
      <c r="AH8" s="29">
        <f>COUNTIF(LJ[Luchtgeweer],"x")</f>
        <v>1</v>
      </c>
      <c r="AI8" s="29">
        <f>COUNTIF(LJ[Luchtpistool],"x")</f>
        <v>1</v>
      </c>
      <c r="AJ8" s="29">
        <f>COUNTIF(LJ[Kruisboog],"x")</f>
        <v>1</v>
      </c>
      <c r="AK8" s="29">
        <f>COUNTIF(LJ[Handboog],"x")</f>
        <v>1</v>
      </c>
      <c r="AL8" s="30" t="e">
        <f>COUNTIF(#REF!,"x")</f>
        <v>#REF!</v>
      </c>
      <c r="AM8" s="30" t="e">
        <f>SUBTOTAL(109,#REF!)</f>
        <v>#REF!</v>
      </c>
      <c r="AN8" s="29">
        <f>SUBTOTAL(109,LJ[Totaal aantal deelnemers])</f>
        <v>100</v>
      </c>
      <c r="AO8" s="31">
        <f>SUBTOTAL(109,LJ[Waarvan aantal jeugd (t/m 15 jaar)])</f>
        <v>25</v>
      </c>
      <c r="AP8" s="29"/>
      <c r="AQ8" s="29"/>
      <c r="AR8" s="65"/>
      <c r="AS8" s="29"/>
      <c r="AT8" s="29"/>
      <c r="AU8" s="28"/>
      <c r="AV8" s="28"/>
      <c r="AW8" s="28"/>
      <c r="AX8" s="28"/>
      <c r="AY8" s="28"/>
      <c r="AZ8" s="28"/>
      <c r="BA8" s="29"/>
      <c r="BB8" s="28"/>
      <c r="BC8" s="28"/>
      <c r="BD8" s="28"/>
      <c r="BE8" s="28"/>
      <c r="BF8" s="28"/>
      <c r="BG8" s="28"/>
      <c r="BH8" s="28"/>
      <c r="BI8" s="28"/>
      <c r="BJ8" s="28"/>
      <c r="BK8" s="28"/>
      <c r="BL8" s="28"/>
      <c r="BM8" s="28"/>
      <c r="BN8" s="28"/>
      <c r="BO8" s="28"/>
      <c r="BP8" s="28"/>
      <c r="BQ8" s="28"/>
      <c r="BR8" s="28"/>
      <c r="BS8" s="28"/>
      <c r="BT8" s="28"/>
      <c r="BU8" s="28"/>
      <c r="BV8" s="28"/>
      <c r="BW8" s="28"/>
      <c r="BX8" s="28"/>
      <c r="BY8" s="28"/>
      <c r="BZ8" s="28"/>
      <c r="CA8" s="28"/>
      <c r="CB8" s="28"/>
      <c r="CC8" s="28"/>
      <c r="CD8" s="28"/>
      <c r="CE8" s="28"/>
      <c r="CF8" s="29"/>
      <c r="CG8" s="29">
        <f>SUBTOTAL(109,LJ[Aantal opgegeven majorettes])</f>
        <v>9</v>
      </c>
      <c r="CH8" s="75"/>
      <c r="CI8" s="75"/>
      <c r="CJ8" s="75"/>
    </row>
    <row r="10" spans="1:88" x14ac:dyDescent="0.2">
      <c r="C10" s="32"/>
      <c r="D10" s="1"/>
    </row>
    <row r="11" spans="1:88" x14ac:dyDescent="0.2">
      <c r="C11" s="32"/>
      <c r="D11" s="70"/>
    </row>
  </sheetData>
  <mergeCells count="16">
    <mergeCell ref="I4:K4"/>
    <mergeCell ref="A1:CG1"/>
    <mergeCell ref="A2:CG2"/>
    <mergeCell ref="AN3:AT3"/>
    <mergeCell ref="D3:H3"/>
    <mergeCell ref="I3:W3"/>
    <mergeCell ref="X3:Y3"/>
    <mergeCell ref="AA3:AF3"/>
    <mergeCell ref="AH3:AM3"/>
    <mergeCell ref="L4:N4"/>
    <mergeCell ref="O4:Q4"/>
    <mergeCell ref="R4:W4"/>
    <mergeCell ref="AU3:CB3"/>
    <mergeCell ref="CC3:CG3"/>
    <mergeCell ref="AU4:BA4"/>
    <mergeCell ref="BB4:CB4"/>
  </mergeCells>
  <phoneticPr fontId="2" type="noConversion"/>
  <conditionalFormatting sqref="W6:W7">
    <cfRule type="expression" dxfId="16" priority="4">
      <formula>$T6-$W6&lt;&gt;0</formula>
    </cfRule>
  </conditionalFormatting>
  <conditionalFormatting sqref="X6:X7">
    <cfRule type="expression" dxfId="15" priority="5">
      <formula>$U6-$X6&lt;&gt;0</formula>
    </cfRule>
  </conditionalFormatting>
  <conditionalFormatting sqref="Y6:Y7">
    <cfRule type="expression" dxfId="14" priority="6">
      <formula>$V6-$Y6&lt;&gt;0</formula>
    </cfRule>
  </conditionalFormatting>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B42596-4F98-4B71-A6F6-3C3FF5BF23D8}">
  <dimension ref="A1:EV39"/>
  <sheetViews>
    <sheetView zoomScale="110" zoomScaleNormal="110" workbookViewId="0">
      <pane xSplit="3" ySplit="6" topLeftCell="D7" activePane="bottomRight" state="frozen"/>
      <selection pane="topRight" activeCell="D1" sqref="D1"/>
      <selection pane="bottomLeft" activeCell="A7" sqref="A7"/>
      <selection pane="bottomRight" activeCell="BS3" sqref="BS3:BW4"/>
    </sheetView>
  </sheetViews>
  <sheetFormatPr baseColWidth="10" defaultColWidth="9.1640625" defaultRowHeight="15" x14ac:dyDescent="0.2"/>
  <cols>
    <col min="1" max="1" width="10.33203125" bestFit="1" customWidth="1"/>
    <col min="2" max="2" width="8.6640625" bestFit="1" customWidth="1"/>
    <col min="3" max="3" width="40.6640625" bestFit="1" customWidth="1"/>
    <col min="4" max="4" width="3.5" bestFit="1" customWidth="1"/>
    <col min="5" max="16" width="8.5" bestFit="1" customWidth="1"/>
    <col min="17" max="17" width="8.33203125" hidden="1" customWidth="1"/>
    <col min="18" max="19" width="7.6640625" hidden="1" customWidth="1"/>
    <col min="20" max="26" width="8.5" bestFit="1" customWidth="1"/>
    <col min="27" max="27" width="7.6640625" hidden="1" customWidth="1"/>
    <col min="28" max="32" width="8.5" bestFit="1" customWidth="1"/>
    <col min="33" max="36" width="3.5" bestFit="1" customWidth="1"/>
    <col min="37" max="38" width="8.5" bestFit="1" customWidth="1"/>
    <col min="39" max="39" width="8.5" style="1" bestFit="1" customWidth="1"/>
    <col min="40" max="40" width="8.5" bestFit="1" customWidth="1"/>
    <col min="41" max="41" width="8.5" style="1" bestFit="1" customWidth="1"/>
    <col min="42" max="42" width="8.5" bestFit="1" customWidth="1"/>
    <col min="43" max="43" width="8.5" style="1" bestFit="1" customWidth="1"/>
    <col min="44" max="44" width="8.5" bestFit="1" customWidth="1"/>
    <col min="45" max="45" width="8.5" style="1" bestFit="1" customWidth="1"/>
    <col min="46" max="47" width="8.5" bestFit="1" customWidth="1"/>
    <col min="48" max="48" width="3.5" bestFit="1" customWidth="1"/>
    <col min="49" max="49" width="8.5" style="61" bestFit="1" customWidth="1"/>
    <col min="50" max="52" width="8.5" bestFit="1" customWidth="1"/>
    <col min="53" max="53" width="40.1640625" style="70" bestFit="1" customWidth="1"/>
    <col min="54" max="54" width="8.5" bestFit="1" customWidth="1"/>
    <col min="55" max="56" width="15" bestFit="1" customWidth="1"/>
    <col min="57" max="57" width="40.6640625" bestFit="1" customWidth="1"/>
    <col min="58" max="58" width="24.33203125" bestFit="1" customWidth="1"/>
    <col min="59" max="60" width="31" bestFit="1" customWidth="1"/>
    <col min="61" max="61" width="12.83203125" bestFit="1" customWidth="1"/>
    <col min="62" max="62" width="17.83203125" bestFit="1" customWidth="1"/>
    <col min="63" max="63" width="8.5" bestFit="1" customWidth="1"/>
    <col min="64" max="70" width="7.6640625" hidden="1" customWidth="1"/>
    <col min="71" max="71" width="8.5" bestFit="1" customWidth="1"/>
    <col min="72" max="72" width="28.6640625" bestFit="1" customWidth="1"/>
    <col min="73" max="73" width="27.1640625" bestFit="1" customWidth="1"/>
    <col min="74" max="74" width="22.83203125" bestFit="1" customWidth="1"/>
    <col min="75" max="75" width="8.5" bestFit="1" customWidth="1"/>
    <col min="76" max="76" width="39.33203125" bestFit="1" customWidth="1"/>
    <col min="77" max="77" width="42" bestFit="1" customWidth="1"/>
    <col min="78" max="78" width="35.6640625" bestFit="1" customWidth="1"/>
    <col min="79" max="80" width="7.6640625" bestFit="1" customWidth="1"/>
    <col min="81" max="81" width="10.1640625" bestFit="1" customWidth="1"/>
    <col min="86" max="118" width="9.1640625" style="1"/>
    <col min="119" max="120" width="9.1640625" style="5"/>
    <col min="121" max="124" width="9.1640625" style="1"/>
    <col min="125" max="125" width="9.1640625" style="61"/>
    <col min="126" max="127" width="9.1640625" style="1"/>
    <col min="145" max="152" width="9.1640625" style="1"/>
  </cols>
  <sheetData>
    <row r="1" spans="1:152" ht="19" x14ac:dyDescent="0.2">
      <c r="A1" s="142" t="s">
        <v>86</v>
      </c>
      <c r="B1" s="142"/>
      <c r="C1" s="142"/>
      <c r="D1" s="142"/>
      <c r="E1" s="142"/>
      <c r="F1" s="142"/>
      <c r="G1" s="142"/>
      <c r="H1" s="142"/>
      <c r="I1" s="142"/>
      <c r="J1" s="142"/>
      <c r="K1" s="142"/>
      <c r="L1" s="142"/>
      <c r="M1" s="142"/>
      <c r="N1" s="142"/>
      <c r="O1" s="142"/>
      <c r="P1" s="142"/>
      <c r="Q1" s="142"/>
      <c r="R1" s="142"/>
      <c r="S1" s="142"/>
      <c r="T1" s="142"/>
      <c r="U1" s="142"/>
      <c r="V1" s="142"/>
      <c r="W1" s="142"/>
      <c r="X1" s="142"/>
      <c r="Y1" s="142"/>
      <c r="Z1" s="142"/>
      <c r="AA1" s="142"/>
      <c r="AB1" s="142"/>
      <c r="AC1" s="142"/>
      <c r="AD1" s="142"/>
      <c r="AE1" s="142"/>
      <c r="AF1" s="142"/>
      <c r="AG1" s="142"/>
      <c r="AH1" s="142"/>
      <c r="AI1" s="142"/>
      <c r="AJ1" s="142"/>
      <c r="AK1" s="142"/>
      <c r="AL1" s="142"/>
      <c r="AM1" s="142"/>
      <c r="AN1" s="142"/>
      <c r="AO1" s="142"/>
      <c r="AP1" s="142"/>
      <c r="AQ1" s="142"/>
      <c r="AR1" s="142"/>
      <c r="AS1" s="142"/>
      <c r="AT1" s="142"/>
      <c r="AU1" s="142"/>
      <c r="AV1" s="142"/>
      <c r="AW1" s="142"/>
      <c r="AX1" s="142"/>
      <c r="AY1" s="142"/>
      <c r="AZ1" s="142"/>
      <c r="BA1" s="142"/>
      <c r="BB1" s="142"/>
      <c r="BC1" s="142"/>
      <c r="BD1" s="142"/>
      <c r="BE1" s="142"/>
      <c r="BF1" s="142"/>
      <c r="BG1" s="142"/>
      <c r="BH1" s="142"/>
      <c r="BI1" s="142"/>
      <c r="BJ1" s="142"/>
      <c r="BK1" s="142"/>
      <c r="BL1" s="142"/>
      <c r="BM1" s="142"/>
      <c r="BN1" s="142"/>
      <c r="BO1" s="142"/>
      <c r="BP1" s="142"/>
      <c r="BQ1" s="142"/>
      <c r="BR1" s="142"/>
      <c r="BS1" s="142"/>
      <c r="BT1" s="142"/>
      <c r="BU1" s="142"/>
      <c r="BV1" s="142"/>
      <c r="BW1" s="142"/>
    </row>
    <row r="2" spans="1:152" ht="20" thickBot="1" x14ac:dyDescent="0.3">
      <c r="A2" s="143" t="s">
        <v>143</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c r="AY2" s="143"/>
      <c r="AZ2" s="143"/>
      <c r="BA2" s="143"/>
      <c r="BB2" s="143"/>
      <c r="BC2" s="143"/>
      <c r="BD2" s="143"/>
      <c r="BE2" s="143"/>
      <c r="BF2" s="143"/>
      <c r="BG2" s="143"/>
      <c r="BH2" s="143"/>
      <c r="BI2" s="143"/>
      <c r="BJ2" s="143"/>
      <c r="BK2" s="143"/>
      <c r="BL2" s="143"/>
      <c r="BM2" s="143"/>
      <c r="BN2" s="143"/>
      <c r="BO2" s="143"/>
      <c r="BP2" s="143"/>
      <c r="BQ2" s="143"/>
      <c r="BR2" s="143"/>
      <c r="BS2" s="143"/>
      <c r="BT2" s="143"/>
      <c r="BU2" s="143"/>
      <c r="BV2" s="143"/>
      <c r="BW2" s="143"/>
    </row>
    <row r="3" spans="1:152" ht="16" thickBot="1" x14ac:dyDescent="0.25">
      <c r="A3" s="20"/>
      <c r="B3" s="21"/>
      <c r="C3" s="22"/>
      <c r="D3" s="133" t="s">
        <v>1</v>
      </c>
      <c r="E3" s="134"/>
      <c r="F3" s="134"/>
      <c r="G3" s="134"/>
      <c r="H3" s="135"/>
      <c r="I3" s="136" t="s">
        <v>2</v>
      </c>
      <c r="J3" s="137"/>
      <c r="K3" s="137"/>
      <c r="L3" s="137"/>
      <c r="M3" s="137"/>
      <c r="N3" s="137"/>
      <c r="O3" s="137"/>
      <c r="P3" s="137"/>
      <c r="Q3" s="137"/>
      <c r="R3" s="137"/>
      <c r="S3" s="137"/>
      <c r="T3" s="137"/>
      <c r="U3" s="137"/>
      <c r="V3" s="137"/>
      <c r="W3" s="137"/>
      <c r="X3" s="137"/>
      <c r="Y3" s="138"/>
      <c r="Z3" s="133" t="s">
        <v>3</v>
      </c>
      <c r="AA3" s="135"/>
      <c r="AB3" s="26" t="s">
        <v>4</v>
      </c>
      <c r="AC3" s="95" t="s">
        <v>5</v>
      </c>
      <c r="AD3" s="96"/>
      <c r="AE3" s="96"/>
      <c r="AF3" s="96"/>
      <c r="AG3" s="96"/>
      <c r="AH3" s="96"/>
      <c r="AI3" s="96"/>
      <c r="AJ3" s="97"/>
      <c r="AK3" s="26" t="s">
        <v>6</v>
      </c>
      <c r="AL3" s="133" t="s">
        <v>7</v>
      </c>
      <c r="AM3" s="134"/>
      <c r="AN3" s="134"/>
      <c r="AO3" s="134"/>
      <c r="AP3" s="134"/>
      <c r="AQ3" s="134"/>
      <c r="AR3" s="134"/>
      <c r="AS3" s="134"/>
      <c r="AT3" s="134"/>
      <c r="AU3" s="134"/>
      <c r="AV3" s="135"/>
      <c r="AW3" s="133" t="s">
        <v>8</v>
      </c>
      <c r="AX3" s="134"/>
      <c r="AY3" s="134"/>
      <c r="AZ3" s="134"/>
      <c r="BA3" s="134"/>
      <c r="BB3" s="134"/>
      <c r="BC3" s="134"/>
      <c r="BD3" s="135"/>
      <c r="BE3" s="136" t="s">
        <v>9</v>
      </c>
      <c r="BF3" s="137"/>
      <c r="BG3" s="137"/>
      <c r="BH3" s="137"/>
      <c r="BI3" s="137"/>
      <c r="BJ3" s="137"/>
      <c r="BK3" s="137"/>
      <c r="BL3" s="137"/>
      <c r="BM3" s="137"/>
      <c r="BN3" s="137"/>
      <c r="BO3" s="137"/>
      <c r="BP3" s="137"/>
      <c r="BQ3" s="137"/>
      <c r="BR3" s="137"/>
      <c r="BS3" s="139" t="s">
        <v>10</v>
      </c>
      <c r="BT3" s="140"/>
      <c r="BU3" s="140"/>
      <c r="BV3" s="140"/>
      <c r="BW3" s="141"/>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EO3"/>
      <c r="EP3"/>
      <c r="EQ3"/>
      <c r="ER3"/>
      <c r="ES3"/>
      <c r="ET3"/>
      <c r="EU3"/>
      <c r="EV3"/>
    </row>
    <row r="4" spans="1:152" ht="16" thickBot="1" x14ac:dyDescent="0.25">
      <c r="A4" s="23"/>
      <c r="B4" s="24"/>
      <c r="C4" s="25"/>
      <c r="D4" s="23"/>
      <c r="E4" s="24"/>
      <c r="F4" s="24"/>
      <c r="G4" s="24"/>
      <c r="H4" s="25"/>
      <c r="I4" s="136" t="s">
        <v>11</v>
      </c>
      <c r="J4" s="137"/>
      <c r="K4" s="137"/>
      <c r="L4" s="137"/>
      <c r="M4" s="138"/>
      <c r="N4" s="136" t="s">
        <v>88</v>
      </c>
      <c r="O4" s="137"/>
      <c r="P4" s="138"/>
      <c r="Q4" s="136" t="s">
        <v>13</v>
      </c>
      <c r="R4" s="137"/>
      <c r="S4" s="138"/>
      <c r="T4" s="136" t="s">
        <v>14</v>
      </c>
      <c r="U4" s="137"/>
      <c r="V4" s="137"/>
      <c r="W4" s="137"/>
      <c r="X4" s="137"/>
      <c r="Y4" s="138"/>
      <c r="Z4" s="23"/>
      <c r="AA4" s="25"/>
      <c r="AB4" s="27"/>
      <c r="AC4" s="23"/>
      <c r="AD4" s="24"/>
      <c r="AE4" s="24"/>
      <c r="AF4" s="24"/>
      <c r="AG4" s="24"/>
      <c r="AH4" s="24"/>
      <c r="AI4" s="24"/>
      <c r="AJ4" s="25"/>
      <c r="AK4" s="27"/>
      <c r="AL4" s="23"/>
      <c r="AM4" s="24"/>
      <c r="AN4" s="24"/>
      <c r="AO4" s="24"/>
      <c r="AP4" s="24"/>
      <c r="AQ4" s="24"/>
      <c r="AR4" s="24"/>
      <c r="AS4" s="24"/>
      <c r="AT4" s="24"/>
      <c r="AU4" s="24"/>
      <c r="AV4" s="25"/>
      <c r="AW4" s="23"/>
      <c r="AX4" s="24"/>
      <c r="AY4" s="24"/>
      <c r="AZ4" s="24"/>
      <c r="BA4" s="108"/>
      <c r="BB4" s="24"/>
      <c r="BC4" s="24"/>
      <c r="BD4" s="25"/>
      <c r="BE4" s="136" t="s">
        <v>15</v>
      </c>
      <c r="BF4" s="137"/>
      <c r="BG4" s="137"/>
      <c r="BH4" s="137"/>
      <c r="BI4" s="137"/>
      <c r="BJ4" s="137"/>
      <c r="BK4" s="138"/>
      <c r="BL4" s="136" t="s">
        <v>16</v>
      </c>
      <c r="BM4" s="137"/>
      <c r="BN4" s="137"/>
      <c r="BO4" s="137"/>
      <c r="BP4" s="137"/>
      <c r="BQ4" s="137"/>
      <c r="BR4" s="138"/>
      <c r="BS4" s="125"/>
      <c r="BT4" s="99"/>
      <c r="BU4" s="99"/>
      <c r="BV4" s="99"/>
      <c r="BW4" s="100"/>
      <c r="BX4" s="34"/>
      <c r="BY4" s="3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EO4"/>
      <c r="EP4"/>
      <c r="EQ4"/>
      <c r="ER4"/>
      <c r="ES4"/>
      <c r="ET4"/>
      <c r="EU4"/>
      <c r="EV4"/>
    </row>
    <row r="5" spans="1:152" ht="6.75" hidden="1" customHeight="1" x14ac:dyDescent="0.2">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N5" s="1"/>
      <c r="AP5" s="1"/>
      <c r="AR5" s="63"/>
      <c r="AT5" s="1"/>
      <c r="AU5" s="1"/>
      <c r="AV5" s="1"/>
      <c r="AW5" s="63"/>
      <c r="AX5" s="1"/>
      <c r="AY5" s="1"/>
      <c r="AZ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EO5"/>
      <c r="EP5"/>
      <c r="EQ5"/>
      <c r="ER5"/>
      <c r="ES5"/>
      <c r="ET5"/>
      <c r="EU5"/>
      <c r="EV5"/>
    </row>
    <row r="6" spans="1:152" s="2" customFormat="1" ht="218" thickBot="1" x14ac:dyDescent="0.25">
      <c r="A6" s="6" t="s">
        <v>17</v>
      </c>
      <c r="B6" s="7" t="s">
        <v>18</v>
      </c>
      <c r="C6" s="8" t="s">
        <v>19</v>
      </c>
      <c r="D6" s="3" t="s">
        <v>20</v>
      </c>
      <c r="E6" s="4" t="s">
        <v>21</v>
      </c>
      <c r="F6" s="4" t="s">
        <v>22</v>
      </c>
      <c r="G6" s="4" t="s">
        <v>23</v>
      </c>
      <c r="H6" s="4" t="s">
        <v>24</v>
      </c>
      <c r="I6" s="9" t="s">
        <v>25</v>
      </c>
      <c r="J6" s="10" t="s">
        <v>126</v>
      </c>
      <c r="K6" s="10" t="s">
        <v>127</v>
      </c>
      <c r="L6" s="10" t="s">
        <v>128</v>
      </c>
      <c r="M6" s="11" t="s">
        <v>129</v>
      </c>
      <c r="N6" s="10" t="s">
        <v>26</v>
      </c>
      <c r="O6" s="10" t="s">
        <v>27</v>
      </c>
      <c r="P6" s="11" t="s">
        <v>28</v>
      </c>
      <c r="Q6" s="9" t="s">
        <v>29</v>
      </c>
      <c r="R6" s="10" t="s">
        <v>30</v>
      </c>
      <c r="S6" s="11" t="s">
        <v>31</v>
      </c>
      <c r="T6" s="9" t="s">
        <v>32</v>
      </c>
      <c r="U6" s="10" t="s">
        <v>33</v>
      </c>
      <c r="V6" s="10" t="s">
        <v>34</v>
      </c>
      <c r="W6" s="12" t="s">
        <v>35</v>
      </c>
      <c r="X6" s="12" t="s">
        <v>36</v>
      </c>
      <c r="Y6" s="13" t="s">
        <v>37</v>
      </c>
      <c r="Z6" s="9" t="s">
        <v>15</v>
      </c>
      <c r="AA6" s="11" t="s">
        <v>16</v>
      </c>
      <c r="AB6" s="10" t="s">
        <v>110</v>
      </c>
      <c r="AC6" s="9" t="s">
        <v>38</v>
      </c>
      <c r="AD6" s="10" t="s">
        <v>111</v>
      </c>
      <c r="AE6" s="10" t="s">
        <v>39</v>
      </c>
      <c r="AF6" s="10" t="s">
        <v>40</v>
      </c>
      <c r="AG6" s="94" t="s">
        <v>112</v>
      </c>
      <c r="AH6" s="94" t="s">
        <v>113</v>
      </c>
      <c r="AI6" s="94" t="s">
        <v>114</v>
      </c>
      <c r="AJ6" s="101" t="s">
        <v>115</v>
      </c>
      <c r="AK6" s="14" t="s">
        <v>41</v>
      </c>
      <c r="AL6" s="9" t="s">
        <v>42</v>
      </c>
      <c r="AM6" s="126" t="s">
        <v>122</v>
      </c>
      <c r="AN6" s="10" t="s">
        <v>43</v>
      </c>
      <c r="AO6" s="126" t="s">
        <v>123</v>
      </c>
      <c r="AP6" s="10" t="s">
        <v>45</v>
      </c>
      <c r="AQ6" s="126" t="s">
        <v>124</v>
      </c>
      <c r="AR6" s="10" t="s">
        <v>44</v>
      </c>
      <c r="AS6" s="126" t="s">
        <v>125</v>
      </c>
      <c r="AT6" s="10" t="s">
        <v>116</v>
      </c>
      <c r="AU6" s="10" t="s">
        <v>117</v>
      </c>
      <c r="AV6" s="94" t="s">
        <v>118</v>
      </c>
      <c r="AW6" s="9" t="s">
        <v>46</v>
      </c>
      <c r="AX6" s="10" t="s">
        <v>47</v>
      </c>
      <c r="AY6" s="10" t="s">
        <v>48</v>
      </c>
      <c r="AZ6" s="10" t="s">
        <v>49</v>
      </c>
      <c r="BA6" s="107" t="s">
        <v>50</v>
      </c>
      <c r="BB6" s="10" t="s">
        <v>51</v>
      </c>
      <c r="BC6" s="10" t="s">
        <v>52</v>
      </c>
      <c r="BD6" s="10" t="s">
        <v>108</v>
      </c>
      <c r="BE6" s="9" t="s">
        <v>53</v>
      </c>
      <c r="BF6" s="10" t="s">
        <v>54</v>
      </c>
      <c r="BG6" s="10" t="s">
        <v>55</v>
      </c>
      <c r="BH6" s="10" t="s">
        <v>56</v>
      </c>
      <c r="BI6" s="10" t="s">
        <v>57</v>
      </c>
      <c r="BJ6" s="10" t="s">
        <v>58</v>
      </c>
      <c r="BK6" s="11" t="s">
        <v>59</v>
      </c>
      <c r="BL6" s="9" t="s">
        <v>60</v>
      </c>
      <c r="BM6" s="10" t="s">
        <v>61</v>
      </c>
      <c r="BN6" s="10" t="s">
        <v>62</v>
      </c>
      <c r="BO6" s="10" t="s">
        <v>63</v>
      </c>
      <c r="BP6" s="10" t="s">
        <v>64</v>
      </c>
      <c r="BQ6" s="10" t="s">
        <v>65</v>
      </c>
      <c r="BR6" s="10" t="s">
        <v>66</v>
      </c>
      <c r="BS6" s="9" t="s">
        <v>70</v>
      </c>
      <c r="BT6" s="10" t="s">
        <v>67</v>
      </c>
      <c r="BU6" s="10" t="s">
        <v>68</v>
      </c>
      <c r="BV6" s="10" t="s">
        <v>69</v>
      </c>
      <c r="BW6" s="11" t="s">
        <v>71</v>
      </c>
    </row>
    <row r="7" spans="1:152" ht="16" x14ac:dyDescent="0.2">
      <c r="A7" s="168" t="s">
        <v>138</v>
      </c>
      <c r="B7" s="168" t="s">
        <v>247</v>
      </c>
      <c r="C7" s="168" t="s">
        <v>248</v>
      </c>
      <c r="D7" s="169" t="s">
        <v>73</v>
      </c>
      <c r="E7" s="169" t="s">
        <v>72</v>
      </c>
      <c r="F7" s="169" t="s">
        <v>72</v>
      </c>
      <c r="G7" s="169" t="s">
        <v>73</v>
      </c>
      <c r="H7" s="169"/>
      <c r="I7" s="169">
        <v>8</v>
      </c>
      <c r="N7" s="169"/>
      <c r="O7" s="169"/>
      <c r="P7" s="169"/>
      <c r="Q7" s="169" t="s">
        <v>73</v>
      </c>
      <c r="R7" s="169" t="s">
        <v>73</v>
      </c>
      <c r="S7" s="169" t="s">
        <v>73</v>
      </c>
      <c r="T7" s="1"/>
      <c r="U7" s="1"/>
      <c r="V7" s="1"/>
      <c r="W7" s="1"/>
      <c r="X7" s="1"/>
      <c r="Y7" s="1"/>
      <c r="Z7" s="169" t="s">
        <v>73</v>
      </c>
      <c r="AA7" s="169" t="s">
        <v>73</v>
      </c>
      <c r="AC7" s="1"/>
      <c r="AE7" s="1"/>
      <c r="AF7" s="1"/>
      <c r="AK7" s="169" t="s">
        <v>73</v>
      </c>
      <c r="AL7" s="169" t="s">
        <v>73</v>
      </c>
      <c r="AN7" s="169" t="s">
        <v>73</v>
      </c>
      <c r="AP7" s="169" t="s">
        <v>73</v>
      </c>
      <c r="AR7" s="169" t="s">
        <v>73</v>
      </c>
      <c r="AT7" s="168" t="s">
        <v>72</v>
      </c>
      <c r="AU7">
        <v>1</v>
      </c>
      <c r="AW7" s="1">
        <v>35</v>
      </c>
      <c r="AX7" s="1">
        <v>4</v>
      </c>
      <c r="AY7" s="169" t="s">
        <v>73</v>
      </c>
      <c r="AZ7" s="169" t="s">
        <v>73</v>
      </c>
      <c r="BA7" s="170" t="s">
        <v>73</v>
      </c>
      <c r="BB7" s="169">
        <v>1889</v>
      </c>
      <c r="BC7" s="102">
        <v>45647.568692129629</v>
      </c>
      <c r="BD7" s="87">
        <v>45647.527025462965</v>
      </c>
      <c r="BE7" s="169" t="s">
        <v>73</v>
      </c>
      <c r="BF7" s="169" t="s">
        <v>73</v>
      </c>
      <c r="BG7" s="169" t="s">
        <v>73</v>
      </c>
      <c r="BH7" s="169" t="s">
        <v>73</v>
      </c>
      <c r="BI7" s="169" t="s">
        <v>73</v>
      </c>
      <c r="BJ7" s="169" t="s">
        <v>73</v>
      </c>
      <c r="BK7" s="169"/>
      <c r="BL7" s="169" t="s">
        <v>73</v>
      </c>
      <c r="BM7" s="169" t="s">
        <v>73</v>
      </c>
      <c r="BN7" s="169" t="s">
        <v>73</v>
      </c>
      <c r="BO7" s="169" t="s">
        <v>73</v>
      </c>
      <c r="BP7" s="169" t="s">
        <v>73</v>
      </c>
      <c r="BQ7" s="169" t="s">
        <v>73</v>
      </c>
      <c r="BR7" s="1"/>
      <c r="BS7" s="169" t="s">
        <v>73</v>
      </c>
      <c r="BT7" s="169" t="s">
        <v>73</v>
      </c>
      <c r="BU7" s="169" t="s">
        <v>73</v>
      </c>
      <c r="BV7" s="169" t="s">
        <v>73</v>
      </c>
      <c r="BW7" s="1"/>
      <c r="BX7" s="1"/>
      <c r="BY7" s="1"/>
      <c r="BZ7" s="1"/>
      <c r="CA7" s="1"/>
      <c r="CB7" s="1"/>
      <c r="CC7" s="1"/>
      <c r="CD7" s="1"/>
      <c r="CE7" s="1"/>
      <c r="CF7" s="1"/>
      <c r="CG7" s="1"/>
      <c r="CY7" s="5"/>
      <c r="CZ7" s="5"/>
      <c r="DE7" s="61"/>
      <c r="DH7"/>
      <c r="DI7"/>
      <c r="DJ7"/>
      <c r="DK7"/>
      <c r="DL7"/>
      <c r="DM7"/>
      <c r="DN7"/>
      <c r="DO7"/>
      <c r="DP7"/>
      <c r="DQ7"/>
      <c r="DR7"/>
      <c r="DS7"/>
      <c r="DT7"/>
      <c r="DU7"/>
      <c r="DV7"/>
      <c r="DW7"/>
      <c r="DY7" s="1"/>
      <c r="DZ7" s="1"/>
      <c r="EA7" s="1"/>
      <c r="EB7" s="1"/>
      <c r="EC7" s="1"/>
      <c r="ED7" s="1"/>
      <c r="EE7" s="1"/>
      <c r="EF7" s="1"/>
      <c r="EO7"/>
      <c r="EP7"/>
      <c r="EQ7"/>
      <c r="ER7"/>
      <c r="ES7"/>
      <c r="ET7"/>
      <c r="EU7"/>
      <c r="EV7"/>
    </row>
    <row r="8" spans="1:152" ht="16" x14ac:dyDescent="0.2">
      <c r="A8" s="168" t="s">
        <v>138</v>
      </c>
      <c r="B8" s="168" t="s">
        <v>249</v>
      </c>
      <c r="C8" s="168" t="s">
        <v>250</v>
      </c>
      <c r="D8" s="169" t="s">
        <v>73</v>
      </c>
      <c r="E8" s="169" t="s">
        <v>72</v>
      </c>
      <c r="F8" s="169" t="s">
        <v>72</v>
      </c>
      <c r="G8" s="169" t="s">
        <v>73</v>
      </c>
      <c r="H8" s="169"/>
      <c r="I8" s="169">
        <v>7</v>
      </c>
      <c r="J8">
        <v>3</v>
      </c>
      <c r="N8" s="169"/>
      <c r="O8" s="169"/>
      <c r="P8" s="169"/>
      <c r="Q8" s="169" t="s">
        <v>73</v>
      </c>
      <c r="R8" s="169" t="s">
        <v>73</v>
      </c>
      <c r="S8" s="169" t="s">
        <v>73</v>
      </c>
      <c r="T8" s="1"/>
      <c r="U8" s="1">
        <v>1</v>
      </c>
      <c r="V8" s="1"/>
      <c r="W8" s="1"/>
      <c r="X8" s="1">
        <v>1</v>
      </c>
      <c r="Y8" s="1"/>
      <c r="Z8" s="169" t="s">
        <v>72</v>
      </c>
      <c r="AA8" s="169" t="s">
        <v>73</v>
      </c>
      <c r="AC8" s="1"/>
      <c r="AE8" s="1"/>
      <c r="AF8" s="1"/>
      <c r="AK8" s="169" t="s">
        <v>73</v>
      </c>
      <c r="AL8" s="169" t="s">
        <v>72</v>
      </c>
      <c r="AM8" s="1">
        <v>6</v>
      </c>
      <c r="AN8" s="169" t="s">
        <v>73</v>
      </c>
      <c r="AP8" s="169" t="s">
        <v>73</v>
      </c>
      <c r="AR8" s="169" t="s">
        <v>72</v>
      </c>
      <c r="AS8" s="1">
        <v>5</v>
      </c>
      <c r="AT8" s="168" t="s">
        <v>72</v>
      </c>
      <c r="AU8">
        <v>2</v>
      </c>
      <c r="AW8" s="1">
        <v>25</v>
      </c>
      <c r="AX8" s="1">
        <v>4</v>
      </c>
      <c r="AY8" s="169" t="s">
        <v>73</v>
      </c>
      <c r="AZ8" s="169" t="s">
        <v>73</v>
      </c>
      <c r="BA8" s="170" t="s">
        <v>73</v>
      </c>
      <c r="BB8" s="169">
        <v>1888</v>
      </c>
      <c r="BC8" s="102">
        <v>45647.561111111114</v>
      </c>
      <c r="BD8" s="87">
        <v>45647.519444444442</v>
      </c>
      <c r="BE8" s="169" t="s">
        <v>250</v>
      </c>
      <c r="BF8" s="169" t="s">
        <v>251</v>
      </c>
      <c r="BG8" s="169" t="s">
        <v>76</v>
      </c>
      <c r="BH8" s="169" t="s">
        <v>252</v>
      </c>
      <c r="BI8" s="169" t="s">
        <v>253</v>
      </c>
      <c r="BJ8" s="169" t="s">
        <v>253</v>
      </c>
      <c r="BK8" s="169">
        <v>8</v>
      </c>
      <c r="BL8" s="169" t="s">
        <v>73</v>
      </c>
      <c r="BM8" s="169" t="s">
        <v>73</v>
      </c>
      <c r="BN8" s="169" t="s">
        <v>73</v>
      </c>
      <c r="BO8" s="169" t="s">
        <v>73</v>
      </c>
      <c r="BP8" s="169" t="s">
        <v>73</v>
      </c>
      <c r="BQ8" s="169" t="s">
        <v>73</v>
      </c>
      <c r="BR8" s="1"/>
      <c r="BS8" s="169" t="s">
        <v>73</v>
      </c>
      <c r="BT8" s="169" t="s">
        <v>73</v>
      </c>
      <c r="BU8" s="169" t="s">
        <v>73</v>
      </c>
      <c r="BV8" s="169" t="s">
        <v>73</v>
      </c>
      <c r="BW8" s="1"/>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EO8"/>
      <c r="EP8"/>
      <c r="EQ8"/>
      <c r="ER8"/>
      <c r="ES8"/>
      <c r="ET8"/>
      <c r="EU8"/>
      <c r="EV8"/>
    </row>
    <row r="9" spans="1:152" ht="16" x14ac:dyDescent="0.2">
      <c r="A9" s="168" t="s">
        <v>138</v>
      </c>
      <c r="B9" s="168" t="s">
        <v>241</v>
      </c>
      <c r="C9" s="168" t="s">
        <v>242</v>
      </c>
      <c r="D9" s="169" t="s">
        <v>73</v>
      </c>
      <c r="E9" s="169" t="s">
        <v>72</v>
      </c>
      <c r="F9" s="169" t="s">
        <v>72</v>
      </c>
      <c r="G9" s="169" t="s">
        <v>73</v>
      </c>
      <c r="H9" s="169" t="s">
        <v>72</v>
      </c>
      <c r="I9" s="169">
        <v>6</v>
      </c>
      <c r="J9">
        <v>3</v>
      </c>
      <c r="N9" s="169"/>
      <c r="O9" s="169"/>
      <c r="P9" s="169"/>
      <c r="Q9" s="169" t="s">
        <v>73</v>
      </c>
      <c r="R9" s="169" t="s">
        <v>73</v>
      </c>
      <c r="S9" s="169" t="s">
        <v>73</v>
      </c>
      <c r="T9" s="1">
        <v>1</v>
      </c>
      <c r="U9" s="1"/>
      <c r="V9" s="1"/>
      <c r="W9" s="1">
        <v>1</v>
      </c>
      <c r="X9" s="1"/>
      <c r="Y9" s="1"/>
      <c r="Z9" s="169" t="s">
        <v>73</v>
      </c>
      <c r="AA9" s="169" t="s">
        <v>73</v>
      </c>
      <c r="AC9" s="1"/>
      <c r="AE9" s="1"/>
      <c r="AF9" s="1"/>
      <c r="AK9" s="169" t="s">
        <v>73</v>
      </c>
      <c r="AL9" s="169" t="s">
        <v>72</v>
      </c>
      <c r="AM9" s="1">
        <v>6</v>
      </c>
      <c r="AN9" s="169" t="s">
        <v>72</v>
      </c>
      <c r="AO9" s="1">
        <v>6</v>
      </c>
      <c r="AP9" s="169" t="s">
        <v>73</v>
      </c>
      <c r="AR9" s="169" t="s">
        <v>72</v>
      </c>
      <c r="AS9" s="1">
        <v>6</v>
      </c>
      <c r="AT9" s="168" t="s">
        <v>72</v>
      </c>
      <c r="AU9">
        <v>4</v>
      </c>
      <c r="AW9" s="1">
        <v>46</v>
      </c>
      <c r="AX9" s="1">
        <v>18</v>
      </c>
      <c r="AY9" s="169" t="s">
        <v>73</v>
      </c>
      <c r="AZ9" s="169" t="s">
        <v>73</v>
      </c>
      <c r="BA9" s="170" t="s">
        <v>73</v>
      </c>
      <c r="BB9" s="169">
        <v>1886</v>
      </c>
      <c r="BC9" s="102">
        <v>45647.555879629632</v>
      </c>
      <c r="BD9" s="87">
        <v>45647.51421296296</v>
      </c>
      <c r="BE9" s="169" t="s">
        <v>73</v>
      </c>
      <c r="BF9" s="169" t="s">
        <v>73</v>
      </c>
      <c r="BG9" s="169" t="s">
        <v>73</v>
      </c>
      <c r="BH9" s="169" t="s">
        <v>73</v>
      </c>
      <c r="BI9" s="169" t="s">
        <v>73</v>
      </c>
      <c r="BJ9" s="169" t="s">
        <v>73</v>
      </c>
      <c r="BK9" s="169"/>
      <c r="BL9" s="169" t="s">
        <v>73</v>
      </c>
      <c r="BM9" s="169" t="s">
        <v>73</v>
      </c>
      <c r="BN9" s="169" t="s">
        <v>73</v>
      </c>
      <c r="BO9" s="169" t="s">
        <v>73</v>
      </c>
      <c r="BP9" s="169" t="s">
        <v>73</v>
      </c>
      <c r="BQ9" s="169" t="s">
        <v>73</v>
      </c>
      <c r="BR9" s="1"/>
      <c r="BS9" s="169" t="s">
        <v>73</v>
      </c>
      <c r="BT9" s="169" t="s">
        <v>73</v>
      </c>
      <c r="BU9" s="169" t="s">
        <v>73</v>
      </c>
      <c r="BV9" s="169" t="s">
        <v>73</v>
      </c>
      <c r="BW9" s="1"/>
      <c r="BX9" s="1"/>
      <c r="BY9" s="1"/>
      <c r="BZ9" s="1"/>
      <c r="CA9" s="1"/>
      <c r="CB9" s="1"/>
      <c r="CC9" s="1"/>
      <c r="CD9" s="1"/>
      <c r="CE9" s="1"/>
      <c r="CF9" s="1"/>
      <c r="CG9" s="1"/>
      <c r="DC9" s="5"/>
      <c r="DD9" s="5"/>
      <c r="DI9" s="61"/>
      <c r="DL9"/>
      <c r="DM9"/>
      <c r="DN9"/>
      <c r="DO9"/>
      <c r="DP9"/>
      <c r="DQ9"/>
      <c r="DR9"/>
      <c r="DS9"/>
      <c r="DT9"/>
      <c r="DU9"/>
      <c r="DV9"/>
      <c r="DW9"/>
      <c r="EC9" s="1"/>
      <c r="ED9" s="1"/>
      <c r="EE9" s="1"/>
      <c r="EF9" s="1"/>
      <c r="EG9" s="1"/>
      <c r="EH9" s="1"/>
      <c r="EI9" s="1"/>
      <c r="EJ9" s="1"/>
      <c r="EO9"/>
      <c r="EP9"/>
      <c r="EQ9"/>
      <c r="ER9"/>
      <c r="ES9"/>
      <c r="ET9"/>
      <c r="EU9"/>
      <c r="EV9"/>
    </row>
    <row r="10" spans="1:152" ht="16" x14ac:dyDescent="0.2">
      <c r="A10" s="168" t="s">
        <v>138</v>
      </c>
      <c r="B10" s="168" t="s">
        <v>244</v>
      </c>
      <c r="C10" s="168" t="s">
        <v>245</v>
      </c>
      <c r="D10" s="169" t="s">
        <v>73</v>
      </c>
      <c r="E10" s="169" t="s">
        <v>72</v>
      </c>
      <c r="F10" s="169" t="s">
        <v>72</v>
      </c>
      <c r="G10" s="169" t="s">
        <v>73</v>
      </c>
      <c r="H10" s="169"/>
      <c r="I10" s="169">
        <v>7</v>
      </c>
      <c r="N10" s="169"/>
      <c r="O10" s="169"/>
      <c r="P10" s="169"/>
      <c r="Q10" s="169" t="s">
        <v>73</v>
      </c>
      <c r="R10" s="169" t="s">
        <v>73</v>
      </c>
      <c r="S10" s="169" t="s">
        <v>73</v>
      </c>
      <c r="T10" s="1">
        <v>2</v>
      </c>
      <c r="U10" s="1"/>
      <c r="V10" s="1"/>
      <c r="W10" s="1">
        <v>2</v>
      </c>
      <c r="X10" s="1"/>
      <c r="Y10" s="1"/>
      <c r="Z10" s="169" t="s">
        <v>72</v>
      </c>
      <c r="AA10" s="169" t="s">
        <v>73</v>
      </c>
      <c r="AC10" s="1">
        <v>2</v>
      </c>
      <c r="AE10" s="1"/>
      <c r="AF10" s="1"/>
      <c r="AG10">
        <v>2</v>
      </c>
      <c r="AK10" s="169" t="s">
        <v>73</v>
      </c>
      <c r="AL10" s="169" t="s">
        <v>72</v>
      </c>
      <c r="AM10" s="1">
        <v>6</v>
      </c>
      <c r="AN10" s="169" t="s">
        <v>72</v>
      </c>
      <c r="AO10" s="1">
        <v>6</v>
      </c>
      <c r="AP10" s="169" t="s">
        <v>73</v>
      </c>
      <c r="AR10" s="169" t="s">
        <v>72</v>
      </c>
      <c r="AS10" s="1">
        <v>6</v>
      </c>
      <c r="AT10" s="168" t="s">
        <v>72</v>
      </c>
      <c r="AU10">
        <v>1</v>
      </c>
      <c r="AW10" s="1">
        <v>75</v>
      </c>
      <c r="AX10" s="1">
        <v>5</v>
      </c>
      <c r="AY10" s="169" t="s">
        <v>73</v>
      </c>
      <c r="AZ10" s="169" t="s">
        <v>73</v>
      </c>
      <c r="BA10" s="170" t="s">
        <v>73</v>
      </c>
      <c r="BB10" s="169">
        <v>1881</v>
      </c>
      <c r="BC10" s="102">
        <v>45647.422800925924</v>
      </c>
      <c r="BD10" s="87">
        <v>45647.44159722222</v>
      </c>
      <c r="BE10" s="169" t="s">
        <v>245</v>
      </c>
      <c r="BF10" s="169" t="s">
        <v>78</v>
      </c>
      <c r="BG10" s="169" t="s">
        <v>215</v>
      </c>
      <c r="BH10" s="169" t="s">
        <v>162</v>
      </c>
      <c r="BI10" s="169" t="s">
        <v>246</v>
      </c>
      <c r="BJ10" s="169" t="s">
        <v>246</v>
      </c>
      <c r="BK10" s="169">
        <v>35</v>
      </c>
      <c r="BL10" s="169" t="s">
        <v>73</v>
      </c>
      <c r="BM10" s="169" t="s">
        <v>73</v>
      </c>
      <c r="BN10" s="169" t="s">
        <v>73</v>
      </c>
      <c r="BO10" s="169" t="s">
        <v>73</v>
      </c>
      <c r="BP10" s="169" t="s">
        <v>73</v>
      </c>
      <c r="BQ10" s="169" t="s">
        <v>73</v>
      </c>
      <c r="BR10" s="1"/>
      <c r="BS10" s="169" t="s">
        <v>73</v>
      </c>
      <c r="BT10" s="169" t="s">
        <v>73</v>
      </c>
      <c r="BU10" s="169" t="s">
        <v>73</v>
      </c>
      <c r="BV10" s="169" t="s">
        <v>73</v>
      </c>
      <c r="BW10" s="1"/>
      <c r="BX10" s="1"/>
      <c r="BY10" s="1"/>
      <c r="BZ10" s="1"/>
      <c r="CA10" s="1"/>
      <c r="CB10" s="1"/>
      <c r="CC10" s="1"/>
      <c r="CD10" s="1"/>
      <c r="CE10" s="1"/>
      <c r="CF10" s="1"/>
      <c r="CG10" s="1"/>
      <c r="DC10" s="5"/>
      <c r="DD10" s="5"/>
      <c r="DI10" s="61"/>
      <c r="DL10"/>
      <c r="DM10"/>
      <c r="DN10"/>
      <c r="DO10"/>
      <c r="DP10"/>
      <c r="DQ10"/>
      <c r="DR10"/>
      <c r="DS10"/>
      <c r="DT10"/>
      <c r="DU10"/>
      <c r="DV10"/>
      <c r="DW10"/>
      <c r="EC10" s="1"/>
      <c r="ED10" s="1"/>
      <c r="EE10" s="1"/>
      <c r="EF10" s="1"/>
      <c r="EG10" s="1"/>
      <c r="EH10" s="1"/>
      <c r="EI10" s="1"/>
      <c r="EJ10" s="1"/>
      <c r="EO10"/>
      <c r="EP10"/>
      <c r="EQ10"/>
      <c r="ER10"/>
      <c r="ES10"/>
      <c r="ET10"/>
      <c r="EU10"/>
      <c r="EV10"/>
    </row>
    <row r="11" spans="1:152" ht="16" x14ac:dyDescent="0.2">
      <c r="A11" s="168" t="s">
        <v>138</v>
      </c>
      <c r="B11" s="168" t="s">
        <v>207</v>
      </c>
      <c r="C11" s="168" t="s">
        <v>236</v>
      </c>
      <c r="D11" s="169" t="s">
        <v>73</v>
      </c>
      <c r="E11" s="169" t="s">
        <v>72</v>
      </c>
      <c r="F11" s="169" t="s">
        <v>72</v>
      </c>
      <c r="G11" s="169" t="s">
        <v>73</v>
      </c>
      <c r="H11" s="169"/>
      <c r="I11" s="169">
        <v>7</v>
      </c>
      <c r="N11" s="169"/>
      <c r="O11" s="169"/>
      <c r="P11" s="169"/>
      <c r="Q11" s="169" t="s">
        <v>73</v>
      </c>
      <c r="R11" s="169" t="s">
        <v>73</v>
      </c>
      <c r="S11" s="169" t="s">
        <v>73</v>
      </c>
      <c r="T11" s="1"/>
      <c r="U11" s="1"/>
      <c r="V11" s="1"/>
      <c r="W11" s="1"/>
      <c r="X11" s="1"/>
      <c r="Y11" s="1"/>
      <c r="Z11" s="169" t="s">
        <v>73</v>
      </c>
      <c r="AA11" s="169" t="s">
        <v>73</v>
      </c>
      <c r="AC11" s="1"/>
      <c r="AE11" s="1"/>
      <c r="AF11" s="1"/>
      <c r="AK11" s="169" t="s">
        <v>72</v>
      </c>
      <c r="AL11" s="169" t="s">
        <v>72</v>
      </c>
      <c r="AM11" s="1">
        <v>6</v>
      </c>
      <c r="AN11" s="169" t="s">
        <v>72</v>
      </c>
      <c r="AO11" s="1">
        <v>6</v>
      </c>
      <c r="AP11" s="169" t="s">
        <v>73</v>
      </c>
      <c r="AR11" s="169" t="s">
        <v>72</v>
      </c>
      <c r="AS11" s="1">
        <v>6</v>
      </c>
      <c r="AT11" s="168" t="s">
        <v>73</v>
      </c>
      <c r="AW11" s="1">
        <v>57</v>
      </c>
      <c r="AX11" s="1">
        <v>2</v>
      </c>
      <c r="AY11" s="169" t="s">
        <v>73</v>
      </c>
      <c r="AZ11" s="169" t="s">
        <v>73</v>
      </c>
      <c r="BA11" s="170" t="s">
        <v>73</v>
      </c>
      <c r="BB11" s="169">
        <v>1877</v>
      </c>
      <c r="BC11" s="102">
        <v>45646.491331018522</v>
      </c>
      <c r="BD11" s="87">
        <v>45646.451967592591</v>
      </c>
      <c r="BE11" s="169" t="s">
        <v>73</v>
      </c>
      <c r="BF11" s="169" t="s">
        <v>73</v>
      </c>
      <c r="BG11" s="169" t="s">
        <v>73</v>
      </c>
      <c r="BH11" s="169" t="s">
        <v>73</v>
      </c>
      <c r="BI11" s="169" t="s">
        <v>73</v>
      </c>
      <c r="BJ11" s="169" t="s">
        <v>73</v>
      </c>
      <c r="BK11" s="169"/>
      <c r="BL11" s="169" t="s">
        <v>73</v>
      </c>
      <c r="BM11" s="169" t="s">
        <v>73</v>
      </c>
      <c r="BN11" s="169" t="s">
        <v>73</v>
      </c>
      <c r="BO11" s="169" t="s">
        <v>73</v>
      </c>
      <c r="BP11" s="169" t="s">
        <v>73</v>
      </c>
      <c r="BQ11" s="169" t="s">
        <v>73</v>
      </c>
      <c r="BR11" s="1"/>
      <c r="BS11" s="169" t="s">
        <v>73</v>
      </c>
      <c r="BT11" s="169" t="s">
        <v>73</v>
      </c>
      <c r="BU11" s="169" t="s">
        <v>73</v>
      </c>
      <c r="BV11" s="169" t="s">
        <v>73</v>
      </c>
      <c r="BW11" s="1"/>
      <c r="BX11" s="1"/>
      <c r="BY11" s="1"/>
      <c r="BZ11" s="1"/>
      <c r="CA11" s="1"/>
      <c r="CB11" s="1"/>
      <c r="CC11" s="1"/>
      <c r="CD11" s="1"/>
      <c r="CE11" s="1"/>
      <c r="CF11" s="1"/>
      <c r="CG11" s="1"/>
      <c r="DC11" s="5"/>
      <c r="DD11" s="5"/>
      <c r="DI11" s="61"/>
      <c r="DL11"/>
      <c r="DM11"/>
      <c r="DN11"/>
      <c r="DO11"/>
      <c r="DP11"/>
      <c r="DQ11"/>
      <c r="DR11"/>
      <c r="DS11"/>
      <c r="DT11"/>
      <c r="DU11"/>
      <c r="DV11"/>
      <c r="DW11"/>
      <c r="EC11" s="1"/>
      <c r="ED11" s="1"/>
      <c r="EE11" s="1"/>
      <c r="EF11" s="1"/>
      <c r="EG11" s="1"/>
      <c r="EH11" s="1"/>
      <c r="EI11" s="1"/>
      <c r="EJ11" s="1"/>
      <c r="EO11"/>
      <c r="EP11"/>
      <c r="EQ11"/>
      <c r="ER11"/>
      <c r="ES11"/>
      <c r="ET11"/>
      <c r="EU11"/>
      <c r="EV11"/>
    </row>
    <row r="12" spans="1:152" ht="16" x14ac:dyDescent="0.2">
      <c r="A12" s="168" t="s">
        <v>138</v>
      </c>
      <c r="B12" s="168" t="s">
        <v>231</v>
      </c>
      <c r="C12" s="168" t="s">
        <v>232</v>
      </c>
      <c r="D12" s="169" t="s">
        <v>73</v>
      </c>
      <c r="E12" s="169" t="s">
        <v>72</v>
      </c>
      <c r="F12" s="169" t="s">
        <v>72</v>
      </c>
      <c r="G12" s="169" t="s">
        <v>73</v>
      </c>
      <c r="H12" s="169"/>
      <c r="I12" s="169">
        <v>10</v>
      </c>
      <c r="N12" s="169"/>
      <c r="O12" s="169"/>
      <c r="P12" s="169"/>
      <c r="Q12" s="169" t="s">
        <v>73</v>
      </c>
      <c r="R12" s="169" t="s">
        <v>73</v>
      </c>
      <c r="S12" s="169" t="s">
        <v>73</v>
      </c>
      <c r="T12" s="1"/>
      <c r="U12" s="1"/>
      <c r="V12" s="1"/>
      <c r="W12" s="1"/>
      <c r="X12" s="1"/>
      <c r="Y12" s="1"/>
      <c r="Z12" s="169" t="s">
        <v>73</v>
      </c>
      <c r="AA12" s="169" t="s">
        <v>73</v>
      </c>
      <c r="AC12" s="1">
        <v>5</v>
      </c>
      <c r="AE12" s="1"/>
      <c r="AF12" s="1"/>
      <c r="AG12">
        <v>5</v>
      </c>
      <c r="AK12" s="169" t="s">
        <v>72</v>
      </c>
      <c r="AL12" s="169" t="s">
        <v>72</v>
      </c>
      <c r="AM12" s="1">
        <v>3</v>
      </c>
      <c r="AN12" s="169" t="s">
        <v>72</v>
      </c>
      <c r="AO12" s="1">
        <v>3</v>
      </c>
      <c r="AP12" s="169" t="s">
        <v>73</v>
      </c>
      <c r="AR12" s="169" t="s">
        <v>73</v>
      </c>
      <c r="AT12" s="168" t="s">
        <v>73</v>
      </c>
      <c r="AW12" s="1">
        <v>70</v>
      </c>
      <c r="AX12" s="1">
        <v>5</v>
      </c>
      <c r="AY12" s="169" t="s">
        <v>72</v>
      </c>
      <c r="AZ12" s="169" t="s">
        <v>73</v>
      </c>
      <c r="BA12" s="170" t="s">
        <v>73</v>
      </c>
      <c r="BB12" s="169">
        <v>1874</v>
      </c>
      <c r="BC12" s="102">
        <v>45645.469895833332</v>
      </c>
      <c r="BD12" s="87">
        <v>45645.428229166668</v>
      </c>
      <c r="BE12" s="169" t="s">
        <v>73</v>
      </c>
      <c r="BF12" s="169" t="s">
        <v>73</v>
      </c>
      <c r="BG12" s="169" t="s">
        <v>73</v>
      </c>
      <c r="BH12" s="169" t="s">
        <v>73</v>
      </c>
      <c r="BI12" s="169" t="s">
        <v>73</v>
      </c>
      <c r="BJ12" s="169" t="s">
        <v>73</v>
      </c>
      <c r="BK12" s="169"/>
      <c r="BL12" s="169" t="s">
        <v>73</v>
      </c>
      <c r="BM12" s="169" t="s">
        <v>73</v>
      </c>
      <c r="BN12" s="169" t="s">
        <v>73</v>
      </c>
      <c r="BO12" s="169" t="s">
        <v>73</v>
      </c>
      <c r="BP12" s="169" t="s">
        <v>73</v>
      </c>
      <c r="BQ12" s="169" t="s">
        <v>73</v>
      </c>
      <c r="BR12" s="1"/>
      <c r="BS12" s="169" t="s">
        <v>73</v>
      </c>
      <c r="BT12" s="169" t="s">
        <v>73</v>
      </c>
      <c r="BU12" s="169" t="s">
        <v>73</v>
      </c>
      <c r="BV12" s="169" t="s">
        <v>73</v>
      </c>
      <c r="BW12" s="1"/>
      <c r="BX12" s="1"/>
      <c r="BY12" s="1"/>
      <c r="BZ12" s="1"/>
      <c r="CA12" s="1"/>
      <c r="CB12" s="1"/>
      <c r="CC12" s="1"/>
      <c r="CD12" s="1"/>
      <c r="CE12" s="1"/>
      <c r="CF12" s="1"/>
      <c r="CG12" s="1"/>
      <c r="DC12" s="5"/>
      <c r="DD12" s="5"/>
      <c r="DI12" s="61"/>
      <c r="DL12"/>
      <c r="DM12"/>
      <c r="DN12"/>
      <c r="DO12"/>
      <c r="DP12"/>
      <c r="DQ12"/>
      <c r="DR12"/>
      <c r="DS12"/>
      <c r="DT12"/>
      <c r="DU12"/>
      <c r="DV12"/>
      <c r="DW12"/>
      <c r="EC12" s="1"/>
      <c r="ED12" s="1"/>
      <c r="EE12" s="1"/>
      <c r="EF12" s="1"/>
      <c r="EG12" s="1"/>
      <c r="EH12" s="1"/>
      <c r="EI12" s="1"/>
      <c r="EJ12" s="1"/>
      <c r="EO12"/>
      <c r="EP12"/>
      <c r="EQ12"/>
      <c r="ER12"/>
      <c r="ES12"/>
      <c r="ET12"/>
      <c r="EU12"/>
      <c r="EV12"/>
    </row>
    <row r="13" spans="1:152" ht="16" x14ac:dyDescent="0.2">
      <c r="A13" s="168" t="s">
        <v>138</v>
      </c>
      <c r="B13" s="168" t="s">
        <v>237</v>
      </c>
      <c r="C13" s="168" t="s">
        <v>238</v>
      </c>
      <c r="D13" s="169" t="s">
        <v>73</v>
      </c>
      <c r="E13" s="169" t="s">
        <v>72</v>
      </c>
      <c r="F13" s="169" t="s">
        <v>72</v>
      </c>
      <c r="G13" s="169" t="s">
        <v>73</v>
      </c>
      <c r="H13" s="169"/>
      <c r="I13" s="169">
        <v>4</v>
      </c>
      <c r="N13" s="169"/>
      <c r="O13" s="169"/>
      <c r="P13" s="169"/>
      <c r="Q13" s="169" t="s">
        <v>73</v>
      </c>
      <c r="R13" s="169" t="s">
        <v>73</v>
      </c>
      <c r="S13" s="169" t="s">
        <v>73</v>
      </c>
      <c r="T13" s="1"/>
      <c r="U13" s="1"/>
      <c r="V13" s="1"/>
      <c r="W13" s="1"/>
      <c r="X13" s="1"/>
      <c r="Y13" s="1"/>
      <c r="Z13" s="169" t="s">
        <v>73</v>
      </c>
      <c r="AA13" s="169" t="s">
        <v>73</v>
      </c>
      <c r="AC13" s="1"/>
      <c r="AE13" s="1">
        <v>1</v>
      </c>
      <c r="AF13" s="1"/>
      <c r="AI13">
        <v>1</v>
      </c>
      <c r="AK13" s="169" t="s">
        <v>73</v>
      </c>
      <c r="AL13" s="169" t="s">
        <v>72</v>
      </c>
      <c r="AM13" s="1">
        <v>6</v>
      </c>
      <c r="AN13" s="169" t="s">
        <v>72</v>
      </c>
      <c r="AO13" s="1">
        <v>6</v>
      </c>
      <c r="AP13" s="169" t="s">
        <v>73</v>
      </c>
      <c r="AR13" s="169" t="s">
        <v>72</v>
      </c>
      <c r="AS13" s="1">
        <v>6</v>
      </c>
      <c r="AT13" s="168" t="s">
        <v>73</v>
      </c>
      <c r="AW13" s="1">
        <v>6</v>
      </c>
      <c r="AX13" s="1">
        <v>0</v>
      </c>
      <c r="AY13" s="169" t="s">
        <v>73</v>
      </c>
      <c r="AZ13" s="169" t="s">
        <v>73</v>
      </c>
      <c r="BA13" s="170" t="s">
        <v>73</v>
      </c>
      <c r="BB13" s="169">
        <v>1870</v>
      </c>
      <c r="BC13" s="102">
        <v>45645.403946759259</v>
      </c>
      <c r="BD13" s="87">
        <v>45645.362280092595</v>
      </c>
      <c r="BE13" s="169" t="s">
        <v>73</v>
      </c>
      <c r="BF13" s="169" t="s">
        <v>73</v>
      </c>
      <c r="BG13" s="169" t="s">
        <v>73</v>
      </c>
      <c r="BH13" s="169" t="s">
        <v>73</v>
      </c>
      <c r="BI13" s="169" t="s">
        <v>73</v>
      </c>
      <c r="BJ13" s="169" t="s">
        <v>73</v>
      </c>
      <c r="BK13" s="169"/>
      <c r="BL13" s="169" t="s">
        <v>73</v>
      </c>
      <c r="BM13" s="169" t="s">
        <v>73</v>
      </c>
      <c r="BN13" s="169" t="s">
        <v>73</v>
      </c>
      <c r="BO13" s="169" t="s">
        <v>73</v>
      </c>
      <c r="BP13" s="169" t="s">
        <v>73</v>
      </c>
      <c r="BQ13" s="169" t="s">
        <v>73</v>
      </c>
      <c r="BR13" s="1"/>
      <c r="BS13" s="169" t="s">
        <v>73</v>
      </c>
      <c r="BT13" s="169" t="s">
        <v>73</v>
      </c>
      <c r="BU13" s="169" t="s">
        <v>73</v>
      </c>
      <c r="BV13" s="169" t="s">
        <v>73</v>
      </c>
      <c r="BW13" s="1"/>
      <c r="BX13" s="1"/>
      <c r="BY13" s="1"/>
      <c r="BZ13" s="1"/>
      <c r="CA13" s="1"/>
      <c r="CB13" s="1"/>
      <c r="CC13" s="1"/>
      <c r="CD13" s="1"/>
      <c r="CE13" s="1"/>
      <c r="CF13" s="1"/>
      <c r="CG13" s="1"/>
      <c r="DC13" s="5"/>
      <c r="DD13" s="5"/>
      <c r="DI13" s="61"/>
      <c r="DL13"/>
      <c r="DM13"/>
      <c r="DN13"/>
      <c r="DO13"/>
      <c r="DP13"/>
      <c r="DQ13"/>
      <c r="DR13"/>
      <c r="DS13"/>
      <c r="DT13"/>
      <c r="DU13"/>
      <c r="DV13"/>
      <c r="DW13"/>
      <c r="EC13" s="1"/>
      <c r="ED13" s="1"/>
      <c r="EE13" s="1"/>
      <c r="EF13" s="1"/>
      <c r="EG13" s="1"/>
      <c r="EH13" s="1"/>
      <c r="EI13" s="1"/>
      <c r="EJ13" s="1"/>
      <c r="EO13"/>
      <c r="EP13"/>
      <c r="EQ13"/>
      <c r="ER13"/>
      <c r="ES13"/>
      <c r="ET13"/>
      <c r="EU13"/>
      <c r="EV13"/>
    </row>
    <row r="14" spans="1:152" ht="16" x14ac:dyDescent="0.2">
      <c r="A14" s="168" t="s">
        <v>138</v>
      </c>
      <c r="B14" s="168" t="s">
        <v>212</v>
      </c>
      <c r="C14" s="168" t="s">
        <v>213</v>
      </c>
      <c r="D14" s="169" t="s">
        <v>73</v>
      </c>
      <c r="E14" s="169" t="s">
        <v>72</v>
      </c>
      <c r="F14" s="169" t="s">
        <v>72</v>
      </c>
      <c r="G14" s="169" t="s">
        <v>73</v>
      </c>
      <c r="H14" s="169"/>
      <c r="I14" s="169">
        <v>6</v>
      </c>
      <c r="N14" s="169"/>
      <c r="O14" s="169"/>
      <c r="P14" s="169"/>
      <c r="Q14" s="169" t="s">
        <v>73</v>
      </c>
      <c r="R14" s="169" t="s">
        <v>73</v>
      </c>
      <c r="S14" s="169" t="s">
        <v>73</v>
      </c>
      <c r="T14" s="1"/>
      <c r="U14" s="1"/>
      <c r="V14" s="1"/>
      <c r="W14" s="1"/>
      <c r="X14" s="1"/>
      <c r="Y14" s="1"/>
      <c r="Z14" s="169" t="s">
        <v>72</v>
      </c>
      <c r="AA14" s="169" t="s">
        <v>73</v>
      </c>
      <c r="AC14" s="1"/>
      <c r="AE14" s="1"/>
      <c r="AF14" s="1"/>
      <c r="AK14" s="169" t="s">
        <v>73</v>
      </c>
      <c r="AL14" s="169" t="s">
        <v>72</v>
      </c>
      <c r="AM14" s="1">
        <v>6</v>
      </c>
      <c r="AN14" s="169" t="s">
        <v>72</v>
      </c>
      <c r="AO14" s="1">
        <v>6</v>
      </c>
      <c r="AP14" s="169" t="s">
        <v>73</v>
      </c>
      <c r="AR14" s="169" t="s">
        <v>72</v>
      </c>
      <c r="AS14" s="1">
        <v>6</v>
      </c>
      <c r="AT14" s="168" t="s">
        <v>73</v>
      </c>
      <c r="AW14" s="1">
        <v>40</v>
      </c>
      <c r="AX14" s="1">
        <v>2</v>
      </c>
      <c r="AY14" s="169" t="s">
        <v>72</v>
      </c>
      <c r="AZ14" s="169" t="s">
        <v>73</v>
      </c>
      <c r="BA14" s="170" t="s">
        <v>73</v>
      </c>
      <c r="BB14" s="169">
        <v>1858</v>
      </c>
      <c r="BC14" s="102">
        <v>45643.915798611109</v>
      </c>
      <c r="BD14" s="87">
        <v>45643.874131944445</v>
      </c>
      <c r="BE14" s="169" t="s">
        <v>213</v>
      </c>
      <c r="BF14" s="169" t="s">
        <v>78</v>
      </c>
      <c r="BG14" s="169" t="s">
        <v>215</v>
      </c>
      <c r="BH14" s="169" t="s">
        <v>216</v>
      </c>
      <c r="BI14" s="169" t="s">
        <v>217</v>
      </c>
      <c r="BJ14" s="169" t="s">
        <v>218</v>
      </c>
      <c r="BK14" s="169">
        <v>10</v>
      </c>
      <c r="BL14" s="169" t="s">
        <v>73</v>
      </c>
      <c r="BM14" s="169" t="s">
        <v>73</v>
      </c>
      <c r="BN14" s="169" t="s">
        <v>73</v>
      </c>
      <c r="BO14" s="169" t="s">
        <v>73</v>
      </c>
      <c r="BP14" s="169" t="s">
        <v>73</v>
      </c>
      <c r="BQ14" s="169" t="s">
        <v>73</v>
      </c>
      <c r="BR14" s="1"/>
      <c r="BS14" s="169" t="s">
        <v>73</v>
      </c>
      <c r="BT14" s="169" t="s">
        <v>73</v>
      </c>
      <c r="BU14" s="169" t="s">
        <v>73</v>
      </c>
      <c r="BV14" s="169" t="s">
        <v>73</v>
      </c>
      <c r="BW14" s="1"/>
      <c r="BX14" s="1"/>
      <c r="BY14" s="1"/>
      <c r="BZ14" s="1"/>
      <c r="CA14" s="1"/>
      <c r="CB14" s="1"/>
      <c r="CC14" s="1"/>
      <c r="CD14" s="1"/>
      <c r="CE14" s="1"/>
      <c r="CF14" s="1"/>
      <c r="CG14" s="1"/>
      <c r="DC14" s="5"/>
      <c r="DD14" s="5"/>
      <c r="DI14" s="61"/>
      <c r="DL14"/>
      <c r="DM14"/>
      <c r="DN14"/>
      <c r="DO14"/>
      <c r="DP14"/>
      <c r="DQ14"/>
      <c r="DR14"/>
      <c r="DS14"/>
      <c r="DT14"/>
      <c r="DU14"/>
      <c r="DV14"/>
      <c r="DW14"/>
      <c r="EC14" s="1"/>
      <c r="ED14" s="1"/>
      <c r="EE14" s="1"/>
      <c r="EF14" s="1"/>
      <c r="EG14" s="1"/>
      <c r="EH14" s="1"/>
      <c r="EI14" s="1"/>
      <c r="EJ14" s="1"/>
      <c r="EO14"/>
      <c r="EP14"/>
      <c r="EQ14"/>
      <c r="ER14"/>
      <c r="ES14"/>
      <c r="ET14"/>
      <c r="EU14"/>
      <c r="EV14"/>
    </row>
    <row r="15" spans="1:152" ht="16" x14ac:dyDescent="0.2">
      <c r="A15" s="168" t="s">
        <v>138</v>
      </c>
      <c r="B15" s="168" t="s">
        <v>186</v>
      </c>
      <c r="C15" s="168" t="s">
        <v>187</v>
      </c>
      <c r="D15" s="169" t="s">
        <v>73</v>
      </c>
      <c r="E15" s="169" t="s">
        <v>72</v>
      </c>
      <c r="F15" s="169" t="s">
        <v>73</v>
      </c>
      <c r="G15" s="169" t="s">
        <v>72</v>
      </c>
      <c r="H15" s="169" t="s">
        <v>74</v>
      </c>
      <c r="I15" s="169">
        <v>6</v>
      </c>
      <c r="N15" s="169"/>
      <c r="O15" s="169"/>
      <c r="P15" s="169"/>
      <c r="Q15" s="169" t="s">
        <v>73</v>
      </c>
      <c r="R15" s="169" t="s">
        <v>73</v>
      </c>
      <c r="S15" s="169" t="s">
        <v>73</v>
      </c>
      <c r="T15" s="1">
        <v>1</v>
      </c>
      <c r="U15" s="1"/>
      <c r="V15" s="1"/>
      <c r="W15" s="1">
        <v>1</v>
      </c>
      <c r="X15" s="1"/>
      <c r="Y15" s="1"/>
      <c r="Z15" s="169" t="s">
        <v>73</v>
      </c>
      <c r="AA15" s="169" t="s">
        <v>73</v>
      </c>
      <c r="AB15">
        <v>4</v>
      </c>
      <c r="AC15" s="1">
        <v>5</v>
      </c>
      <c r="AE15" s="1"/>
      <c r="AF15" s="1"/>
      <c r="AG15">
        <v>5</v>
      </c>
      <c r="AK15" s="169" t="s">
        <v>73</v>
      </c>
      <c r="AL15" s="169" t="s">
        <v>73</v>
      </c>
      <c r="AN15" s="169" t="s">
        <v>73</v>
      </c>
      <c r="AP15" s="169" t="s">
        <v>73</v>
      </c>
      <c r="AR15" s="169" t="s">
        <v>73</v>
      </c>
      <c r="AT15" s="168" t="s">
        <v>73</v>
      </c>
      <c r="AW15" s="1">
        <v>90</v>
      </c>
      <c r="AX15" s="1">
        <v>20</v>
      </c>
      <c r="AY15" s="169" t="s">
        <v>72</v>
      </c>
      <c r="AZ15" s="169" t="s">
        <v>73</v>
      </c>
      <c r="BA15" s="170" t="s">
        <v>73</v>
      </c>
      <c r="BB15" s="169">
        <v>1849</v>
      </c>
      <c r="BC15" s="102">
        <v>45642.826678240737</v>
      </c>
      <c r="BD15" s="87">
        <v>45642.785011574073</v>
      </c>
      <c r="BE15" s="169" t="s">
        <v>73</v>
      </c>
      <c r="BF15" s="169" t="s">
        <v>73</v>
      </c>
      <c r="BG15" s="169" t="s">
        <v>73</v>
      </c>
      <c r="BH15" s="169" t="s">
        <v>73</v>
      </c>
      <c r="BI15" s="169" t="s">
        <v>73</v>
      </c>
      <c r="BJ15" s="169" t="s">
        <v>73</v>
      </c>
      <c r="BK15" s="169"/>
      <c r="BL15" s="169" t="s">
        <v>73</v>
      </c>
      <c r="BM15" s="169" t="s">
        <v>73</v>
      </c>
      <c r="BN15" s="169" t="s">
        <v>73</v>
      </c>
      <c r="BO15" s="169" t="s">
        <v>73</v>
      </c>
      <c r="BP15" s="169" t="s">
        <v>73</v>
      </c>
      <c r="BQ15" s="169" t="s">
        <v>73</v>
      </c>
      <c r="BR15" s="1"/>
      <c r="BS15" s="169" t="s">
        <v>75</v>
      </c>
      <c r="BT15" s="169" t="s">
        <v>188</v>
      </c>
      <c r="BU15" s="169" t="s">
        <v>189</v>
      </c>
      <c r="BV15" s="169" t="s">
        <v>190</v>
      </c>
      <c r="BW15" s="1">
        <v>8</v>
      </c>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EO15"/>
      <c r="EP15"/>
      <c r="EQ15"/>
      <c r="ER15"/>
      <c r="ES15"/>
      <c r="ET15"/>
      <c r="EU15"/>
      <c r="EV15"/>
    </row>
    <row r="16" spans="1:152" ht="16" x14ac:dyDescent="0.2">
      <c r="A16" s="168" t="s">
        <v>138</v>
      </c>
      <c r="B16" s="168" t="s">
        <v>210</v>
      </c>
      <c r="C16" s="168" t="s">
        <v>211</v>
      </c>
      <c r="D16" s="169" t="s">
        <v>73</v>
      </c>
      <c r="E16" s="169" t="s">
        <v>72</v>
      </c>
      <c r="F16" s="169" t="s">
        <v>72</v>
      </c>
      <c r="G16" s="169" t="s">
        <v>73</v>
      </c>
      <c r="H16" s="169"/>
      <c r="I16" s="169">
        <v>5</v>
      </c>
      <c r="J16">
        <v>3</v>
      </c>
      <c r="N16" s="169">
        <v>4</v>
      </c>
      <c r="O16" s="169"/>
      <c r="P16" s="169"/>
      <c r="Q16" s="169" t="s">
        <v>73</v>
      </c>
      <c r="R16" s="169" t="s">
        <v>73</v>
      </c>
      <c r="S16" s="169" t="s">
        <v>73</v>
      </c>
      <c r="T16" s="1">
        <v>3</v>
      </c>
      <c r="U16" s="1">
        <v>1</v>
      </c>
      <c r="V16" s="1"/>
      <c r="W16" s="1">
        <v>3</v>
      </c>
      <c r="X16" s="1">
        <v>1</v>
      </c>
      <c r="Y16" s="1"/>
      <c r="Z16" s="169" t="s">
        <v>72</v>
      </c>
      <c r="AA16" s="169" t="s">
        <v>73</v>
      </c>
      <c r="AC16" s="1"/>
      <c r="AE16" s="1"/>
      <c r="AF16" s="1"/>
      <c r="AK16" s="169" t="s">
        <v>72</v>
      </c>
      <c r="AL16" s="169" t="s">
        <v>73</v>
      </c>
      <c r="AN16" s="169" t="s">
        <v>73</v>
      </c>
      <c r="AP16" s="169" t="s">
        <v>73</v>
      </c>
      <c r="AR16" s="169" t="s">
        <v>73</v>
      </c>
      <c r="AT16" s="168" t="s">
        <v>73</v>
      </c>
      <c r="AW16" s="1">
        <v>32</v>
      </c>
      <c r="AX16" s="1">
        <v>7</v>
      </c>
      <c r="AY16" s="169" t="s">
        <v>73</v>
      </c>
      <c r="AZ16" s="169" t="s">
        <v>73</v>
      </c>
      <c r="BA16" s="170" t="s">
        <v>73</v>
      </c>
      <c r="BB16" s="169">
        <v>1848</v>
      </c>
      <c r="BC16" s="102">
        <v>45642.813136574077</v>
      </c>
      <c r="BD16" s="87">
        <v>45642.771469907406</v>
      </c>
      <c r="BE16" s="169" t="s">
        <v>211</v>
      </c>
      <c r="BF16" s="169" t="s">
        <v>219</v>
      </c>
      <c r="BG16" s="169" t="s">
        <v>215</v>
      </c>
      <c r="BH16" s="169" t="s">
        <v>216</v>
      </c>
      <c r="BI16" s="169" t="s">
        <v>220</v>
      </c>
      <c r="BJ16" s="169" t="s">
        <v>221</v>
      </c>
      <c r="BK16" s="169">
        <v>20</v>
      </c>
      <c r="BL16" s="169" t="s">
        <v>73</v>
      </c>
      <c r="BM16" s="169" t="s">
        <v>73</v>
      </c>
      <c r="BN16" s="169" t="s">
        <v>73</v>
      </c>
      <c r="BO16" s="169" t="s">
        <v>73</v>
      </c>
      <c r="BP16" s="169" t="s">
        <v>73</v>
      </c>
      <c r="BQ16" s="169" t="s">
        <v>73</v>
      </c>
      <c r="BR16" s="1"/>
      <c r="BS16" s="169" t="s">
        <v>73</v>
      </c>
      <c r="BT16" s="169" t="s">
        <v>73</v>
      </c>
      <c r="BU16" s="169" t="s">
        <v>73</v>
      </c>
      <c r="BV16" s="169" t="s">
        <v>73</v>
      </c>
      <c r="BW16" s="1"/>
      <c r="BX16" s="1"/>
      <c r="BY16" s="1"/>
      <c r="BZ16" s="1"/>
      <c r="CA16" s="1"/>
      <c r="CB16" s="1"/>
      <c r="CC16" s="1"/>
      <c r="CD16" s="1"/>
      <c r="CE16" s="1"/>
      <c r="CF16" s="1"/>
      <c r="CG16" s="1"/>
      <c r="DC16" s="5"/>
      <c r="DD16" s="5"/>
      <c r="DI16" s="61"/>
      <c r="DL16"/>
      <c r="DM16"/>
      <c r="DN16"/>
      <c r="DO16"/>
      <c r="DP16"/>
      <c r="DQ16"/>
      <c r="DR16"/>
      <c r="DS16"/>
      <c r="DT16"/>
      <c r="DU16"/>
      <c r="DV16"/>
      <c r="DW16"/>
      <c r="EC16" s="1"/>
      <c r="ED16" s="1"/>
      <c r="EE16" s="1"/>
      <c r="EF16" s="1"/>
      <c r="EG16" s="1"/>
      <c r="EH16" s="1"/>
      <c r="EI16" s="1"/>
      <c r="EJ16" s="1"/>
      <c r="EO16"/>
      <c r="EP16"/>
      <c r="EQ16"/>
      <c r="ER16"/>
      <c r="ES16"/>
      <c r="ET16"/>
      <c r="EU16"/>
      <c r="EV16"/>
    </row>
    <row r="17" spans="1:152" ht="16" x14ac:dyDescent="0.2">
      <c r="A17" s="168" t="s">
        <v>138</v>
      </c>
      <c r="B17" s="168" t="s">
        <v>203</v>
      </c>
      <c r="C17" s="168" t="s">
        <v>204</v>
      </c>
      <c r="D17" s="169" t="s">
        <v>73</v>
      </c>
      <c r="E17" s="169" t="s">
        <v>73</v>
      </c>
      <c r="F17" s="169" t="s">
        <v>73</v>
      </c>
      <c r="G17" s="169" t="s">
        <v>73</v>
      </c>
      <c r="H17" s="169"/>
      <c r="I17" s="169"/>
      <c r="N17" s="169"/>
      <c r="O17" s="169"/>
      <c r="P17" s="169"/>
      <c r="Q17" s="169" t="s">
        <v>73</v>
      </c>
      <c r="R17" s="169" t="s">
        <v>73</v>
      </c>
      <c r="S17" s="169" t="s">
        <v>73</v>
      </c>
      <c r="T17" s="1"/>
      <c r="U17" s="1"/>
      <c r="V17" s="1"/>
      <c r="W17" s="1"/>
      <c r="X17" s="1"/>
      <c r="Y17" s="1"/>
      <c r="Z17" s="169" t="s">
        <v>73</v>
      </c>
      <c r="AA17" s="169" t="s">
        <v>73</v>
      </c>
      <c r="AC17" s="1"/>
      <c r="AE17" s="1"/>
      <c r="AF17" s="1"/>
      <c r="AK17" s="169" t="s">
        <v>73</v>
      </c>
      <c r="AL17" s="169" t="s">
        <v>72</v>
      </c>
      <c r="AM17" s="1">
        <v>4</v>
      </c>
      <c r="AN17" s="169" t="s">
        <v>72</v>
      </c>
      <c r="AO17" s="1">
        <v>4</v>
      </c>
      <c r="AP17" s="169" t="s">
        <v>73</v>
      </c>
      <c r="AR17" s="169" t="s">
        <v>72</v>
      </c>
      <c r="AS17" s="1">
        <v>4</v>
      </c>
      <c r="AT17" s="168" t="s">
        <v>73</v>
      </c>
      <c r="AW17" s="1">
        <v>30</v>
      </c>
      <c r="AX17" s="1">
        <v>2</v>
      </c>
      <c r="AY17" s="169" t="s">
        <v>72</v>
      </c>
      <c r="AZ17" s="169" t="s">
        <v>73</v>
      </c>
      <c r="BA17" s="170" t="s">
        <v>73</v>
      </c>
      <c r="BB17" s="169">
        <v>1844</v>
      </c>
      <c r="BC17" s="102">
        <v>45642.667673611111</v>
      </c>
      <c r="BD17" s="87">
        <v>45642.626006944447</v>
      </c>
      <c r="BE17" s="169" t="s">
        <v>73</v>
      </c>
      <c r="BF17" s="169" t="s">
        <v>73</v>
      </c>
      <c r="BG17" s="169" t="s">
        <v>73</v>
      </c>
      <c r="BH17" s="169" t="s">
        <v>73</v>
      </c>
      <c r="BI17" s="169" t="s">
        <v>73</v>
      </c>
      <c r="BJ17" s="169" t="s">
        <v>73</v>
      </c>
      <c r="BK17" s="169"/>
      <c r="BL17" s="169" t="s">
        <v>73</v>
      </c>
      <c r="BM17" s="169" t="s">
        <v>73</v>
      </c>
      <c r="BN17" s="169" t="s">
        <v>73</v>
      </c>
      <c r="BO17" s="169" t="s">
        <v>73</v>
      </c>
      <c r="BP17" s="169" t="s">
        <v>73</v>
      </c>
      <c r="BQ17" s="169" t="s">
        <v>73</v>
      </c>
      <c r="BR17" s="1"/>
      <c r="BS17" s="169" t="s">
        <v>73</v>
      </c>
      <c r="BT17" s="169" t="s">
        <v>73</v>
      </c>
      <c r="BU17" s="169" t="s">
        <v>73</v>
      </c>
      <c r="BV17" s="169" t="s">
        <v>73</v>
      </c>
      <c r="BW17" s="1"/>
      <c r="BX17" s="1"/>
      <c r="BY17" s="1"/>
      <c r="BZ17" s="1"/>
      <c r="CA17" s="1"/>
      <c r="CB17" s="1"/>
      <c r="CC17" s="1"/>
      <c r="CD17" s="1"/>
      <c r="CE17" s="1"/>
      <c r="CF17" s="1"/>
      <c r="CG17" s="1"/>
      <c r="DC17" s="5"/>
      <c r="DD17" s="5"/>
      <c r="DI17" s="61"/>
      <c r="DL17"/>
      <c r="DM17"/>
      <c r="DN17"/>
      <c r="DO17"/>
      <c r="DP17"/>
      <c r="DQ17"/>
      <c r="DR17"/>
      <c r="DS17"/>
      <c r="DT17"/>
      <c r="DU17"/>
      <c r="DV17"/>
      <c r="DW17"/>
      <c r="EC17" s="1"/>
      <c r="ED17" s="1"/>
      <c r="EE17" s="1"/>
      <c r="EF17" s="1"/>
      <c r="EG17" s="1"/>
      <c r="EH17" s="1"/>
      <c r="EI17" s="1"/>
      <c r="EJ17" s="1"/>
      <c r="EO17"/>
      <c r="EP17"/>
      <c r="EQ17"/>
      <c r="ER17"/>
      <c r="ES17"/>
      <c r="ET17"/>
      <c r="EU17"/>
      <c r="EV17"/>
    </row>
    <row r="18" spans="1:152" ht="16" x14ac:dyDescent="0.2">
      <c r="A18" s="168" t="s">
        <v>138</v>
      </c>
      <c r="B18" s="168" t="s">
        <v>153</v>
      </c>
      <c r="C18" s="168" t="s">
        <v>154</v>
      </c>
      <c r="D18" s="169" t="s">
        <v>73</v>
      </c>
      <c r="E18" s="169" t="s">
        <v>72</v>
      </c>
      <c r="F18" s="169" t="s">
        <v>73</v>
      </c>
      <c r="G18" s="169" t="s">
        <v>73</v>
      </c>
      <c r="H18" s="169"/>
      <c r="I18" s="169"/>
      <c r="N18" s="169"/>
      <c r="O18" s="169"/>
      <c r="P18" s="169"/>
      <c r="Q18" s="169" t="s">
        <v>73</v>
      </c>
      <c r="R18" s="169" t="s">
        <v>73</v>
      </c>
      <c r="S18" s="169" t="s">
        <v>73</v>
      </c>
      <c r="T18" s="1"/>
      <c r="U18" s="1"/>
      <c r="V18" s="1"/>
      <c r="W18" s="1"/>
      <c r="X18" s="1"/>
      <c r="Y18" s="1"/>
      <c r="Z18" s="169" t="s">
        <v>73</v>
      </c>
      <c r="AA18" s="169" t="s">
        <v>73</v>
      </c>
      <c r="AC18" s="1">
        <v>5</v>
      </c>
      <c r="AE18" s="1"/>
      <c r="AF18" s="1"/>
      <c r="AG18">
        <v>4</v>
      </c>
      <c r="AK18" s="169" t="s">
        <v>73</v>
      </c>
      <c r="AL18" s="169" t="s">
        <v>73</v>
      </c>
      <c r="AN18" s="169" t="s">
        <v>73</v>
      </c>
      <c r="AP18" s="169" t="s">
        <v>73</v>
      </c>
      <c r="AR18" s="169" t="s">
        <v>73</v>
      </c>
      <c r="AT18" s="168" t="s">
        <v>73</v>
      </c>
      <c r="AW18" s="1">
        <v>35</v>
      </c>
      <c r="AX18" s="1">
        <v>10</v>
      </c>
      <c r="AY18" s="169" t="s">
        <v>72</v>
      </c>
      <c r="AZ18" s="169" t="s">
        <v>73</v>
      </c>
      <c r="BA18" s="170" t="s">
        <v>73</v>
      </c>
      <c r="BB18" s="169">
        <v>1838</v>
      </c>
      <c r="BC18" s="102">
        <v>45641.533518518518</v>
      </c>
      <c r="BD18" s="87">
        <v>45641.491851851853</v>
      </c>
      <c r="BE18" s="169" t="s">
        <v>73</v>
      </c>
      <c r="BF18" s="169" t="s">
        <v>73</v>
      </c>
      <c r="BG18" s="169" t="s">
        <v>73</v>
      </c>
      <c r="BH18" s="169" t="s">
        <v>73</v>
      </c>
      <c r="BI18" s="169" t="s">
        <v>73</v>
      </c>
      <c r="BJ18" s="169" t="s">
        <v>73</v>
      </c>
      <c r="BK18" s="169"/>
      <c r="BL18" s="169" t="s">
        <v>73</v>
      </c>
      <c r="BM18" s="169" t="s">
        <v>73</v>
      </c>
      <c r="BN18" s="169" t="s">
        <v>73</v>
      </c>
      <c r="BO18" s="169" t="s">
        <v>73</v>
      </c>
      <c r="BP18" s="169" t="s">
        <v>73</v>
      </c>
      <c r="BQ18" s="169" t="s">
        <v>73</v>
      </c>
      <c r="BR18" s="1"/>
      <c r="BS18" s="169" t="s">
        <v>73</v>
      </c>
      <c r="BT18" s="169" t="s">
        <v>73</v>
      </c>
      <c r="BU18" s="169" t="s">
        <v>73</v>
      </c>
      <c r="BV18" s="169" t="s">
        <v>73</v>
      </c>
      <c r="BW18" s="1"/>
      <c r="BX18" s="1"/>
      <c r="BY18" s="1"/>
      <c r="BZ18" s="1"/>
      <c r="CA18" s="1"/>
      <c r="CB18" s="1"/>
      <c r="CC18" s="1"/>
      <c r="CD18" s="1"/>
      <c r="CE18" s="1"/>
      <c r="CF18" s="1"/>
      <c r="CG18" s="1"/>
      <c r="DC18" s="5"/>
      <c r="DD18" s="5"/>
      <c r="DI18" s="61"/>
      <c r="DL18"/>
      <c r="DM18"/>
      <c r="DN18"/>
      <c r="DO18"/>
      <c r="DP18"/>
      <c r="DQ18"/>
      <c r="DR18"/>
      <c r="DS18"/>
      <c r="DT18"/>
      <c r="DU18"/>
      <c r="DV18"/>
      <c r="DW18"/>
      <c r="EC18" s="1"/>
      <c r="ED18" s="1"/>
      <c r="EE18" s="1"/>
      <c r="EF18" s="1"/>
      <c r="EG18" s="1"/>
      <c r="EH18" s="1"/>
      <c r="EI18" s="1"/>
      <c r="EJ18" s="1"/>
      <c r="EO18"/>
      <c r="EP18"/>
      <c r="EQ18"/>
      <c r="ER18"/>
      <c r="ES18"/>
      <c r="ET18"/>
      <c r="EU18"/>
      <c r="EV18"/>
    </row>
    <row r="19" spans="1:152" ht="16" x14ac:dyDescent="0.2">
      <c r="A19" s="168" t="s">
        <v>138</v>
      </c>
      <c r="B19" s="168" t="s">
        <v>172</v>
      </c>
      <c r="C19" s="168" t="s">
        <v>168</v>
      </c>
      <c r="D19" s="169" t="s">
        <v>73</v>
      </c>
      <c r="E19" s="169" t="s">
        <v>72</v>
      </c>
      <c r="F19" s="169" t="s">
        <v>72</v>
      </c>
      <c r="G19" s="169" t="s">
        <v>73</v>
      </c>
      <c r="H19" s="169" t="s">
        <v>72</v>
      </c>
      <c r="I19" s="169">
        <v>10</v>
      </c>
      <c r="J19">
        <v>3</v>
      </c>
      <c r="L19">
        <v>6</v>
      </c>
      <c r="N19" s="169"/>
      <c r="O19" s="169"/>
      <c r="P19" s="169"/>
      <c r="Q19" s="169" t="s">
        <v>73</v>
      </c>
      <c r="R19" s="169" t="s">
        <v>73</v>
      </c>
      <c r="S19" s="169" t="s">
        <v>73</v>
      </c>
      <c r="T19" s="1"/>
      <c r="U19" s="1"/>
      <c r="V19" s="1"/>
      <c r="W19" s="1"/>
      <c r="X19" s="1"/>
      <c r="Y19" s="1"/>
      <c r="Z19" s="169" t="s">
        <v>73</v>
      </c>
      <c r="AA19" s="169" t="s">
        <v>73</v>
      </c>
      <c r="AB19">
        <v>1</v>
      </c>
      <c r="AC19" s="1">
        <v>11</v>
      </c>
      <c r="AE19" s="1"/>
      <c r="AF19" s="1">
        <v>4</v>
      </c>
      <c r="AG19">
        <v>11</v>
      </c>
      <c r="AJ19">
        <v>4</v>
      </c>
      <c r="AK19" s="169" t="s">
        <v>73</v>
      </c>
      <c r="AL19" s="169" t="s">
        <v>73</v>
      </c>
      <c r="AN19" s="169" t="s">
        <v>73</v>
      </c>
      <c r="AP19" s="169" t="s">
        <v>73</v>
      </c>
      <c r="AR19" s="169" t="s">
        <v>73</v>
      </c>
      <c r="AT19" s="168" t="s">
        <v>73</v>
      </c>
      <c r="AW19" s="1">
        <v>105</v>
      </c>
      <c r="AX19" s="1">
        <v>26</v>
      </c>
      <c r="AY19" s="169" t="s">
        <v>73</v>
      </c>
      <c r="AZ19" s="169" t="s">
        <v>73</v>
      </c>
      <c r="BA19" s="170" t="s">
        <v>73</v>
      </c>
      <c r="BB19" s="169">
        <v>1834</v>
      </c>
      <c r="BC19" s="102">
        <v>45639.400671296295</v>
      </c>
      <c r="BD19" s="87">
        <v>45639.35900462963</v>
      </c>
      <c r="BE19" s="169" t="s">
        <v>73</v>
      </c>
      <c r="BF19" s="169" t="s">
        <v>73</v>
      </c>
      <c r="BG19" s="169" t="s">
        <v>73</v>
      </c>
      <c r="BH19" s="169" t="s">
        <v>73</v>
      </c>
      <c r="BI19" s="169" t="s">
        <v>73</v>
      </c>
      <c r="BJ19" s="169" t="s">
        <v>73</v>
      </c>
      <c r="BK19" s="169"/>
      <c r="BL19" s="169" t="s">
        <v>73</v>
      </c>
      <c r="BM19" s="169" t="s">
        <v>73</v>
      </c>
      <c r="BN19" s="169" t="s">
        <v>73</v>
      </c>
      <c r="BO19" s="169" t="s">
        <v>73</v>
      </c>
      <c r="BP19" s="169" t="s">
        <v>73</v>
      </c>
      <c r="BQ19" s="169" t="s">
        <v>73</v>
      </c>
      <c r="BR19" s="1"/>
      <c r="BS19" s="169" t="s">
        <v>169</v>
      </c>
      <c r="BT19" s="169" t="s">
        <v>196</v>
      </c>
      <c r="BU19" s="169" t="s">
        <v>197</v>
      </c>
      <c r="BV19" s="169" t="s">
        <v>198</v>
      </c>
      <c r="BW19" s="1">
        <v>16</v>
      </c>
      <c r="BX19" s="1"/>
      <c r="BY19" s="1"/>
      <c r="BZ19" s="1"/>
      <c r="CA19" s="1"/>
      <c r="CB19" s="1"/>
      <c r="CC19" s="1"/>
      <c r="CD19" s="1"/>
      <c r="CE19" s="1"/>
      <c r="CF19" s="1"/>
      <c r="CG19" s="1"/>
      <c r="DC19" s="5"/>
      <c r="DD19" s="5"/>
      <c r="DI19" s="61"/>
      <c r="DL19"/>
      <c r="DM19"/>
      <c r="DN19"/>
      <c r="DO19"/>
      <c r="DP19"/>
      <c r="DQ19"/>
      <c r="DR19"/>
      <c r="DS19"/>
      <c r="DT19"/>
      <c r="DU19"/>
      <c r="DV19"/>
      <c r="DW19"/>
      <c r="EC19" s="1"/>
      <c r="ED19" s="1"/>
      <c r="EE19" s="1"/>
      <c r="EF19" s="1"/>
      <c r="EG19" s="1"/>
      <c r="EH19" s="1"/>
      <c r="EI19" s="1"/>
      <c r="EJ19" s="1"/>
      <c r="EO19"/>
      <c r="EP19"/>
      <c r="EQ19"/>
      <c r="ER19"/>
      <c r="ES19"/>
      <c r="ET19"/>
      <c r="EU19"/>
      <c r="EV19"/>
    </row>
    <row r="20" spans="1:152" ht="80" x14ac:dyDescent="0.2">
      <c r="A20" s="168" t="s">
        <v>138</v>
      </c>
      <c r="B20" s="168" t="s">
        <v>179</v>
      </c>
      <c r="C20" s="168" t="s">
        <v>166</v>
      </c>
      <c r="D20" s="169" t="s">
        <v>73</v>
      </c>
      <c r="E20" s="169" t="s">
        <v>72</v>
      </c>
      <c r="F20" s="169" t="s">
        <v>72</v>
      </c>
      <c r="G20" s="169" t="s">
        <v>73</v>
      </c>
      <c r="H20" s="169"/>
      <c r="I20" s="169"/>
      <c r="L20">
        <v>6</v>
      </c>
      <c r="N20" s="169"/>
      <c r="O20" s="169"/>
      <c r="P20" s="169"/>
      <c r="Q20" s="169" t="s">
        <v>73</v>
      </c>
      <c r="R20" s="169" t="s">
        <v>73</v>
      </c>
      <c r="S20" s="169" t="s">
        <v>73</v>
      </c>
      <c r="T20" s="1"/>
      <c r="U20" s="1">
        <v>1</v>
      </c>
      <c r="V20" s="1">
        <v>5</v>
      </c>
      <c r="W20" s="1"/>
      <c r="X20" s="1">
        <v>1</v>
      </c>
      <c r="Y20" s="1">
        <v>5</v>
      </c>
      <c r="Z20" s="169" t="s">
        <v>72</v>
      </c>
      <c r="AA20" s="169" t="s">
        <v>73</v>
      </c>
      <c r="AC20" s="1"/>
      <c r="AE20" s="1"/>
      <c r="AF20" s="1"/>
      <c r="AK20" s="169" t="s">
        <v>73</v>
      </c>
      <c r="AL20" s="169" t="s">
        <v>73</v>
      </c>
      <c r="AN20" s="169" t="s">
        <v>73</v>
      </c>
      <c r="AP20" s="169" t="s">
        <v>73</v>
      </c>
      <c r="AR20" s="169" t="s">
        <v>73</v>
      </c>
      <c r="AT20" s="168" t="s">
        <v>72</v>
      </c>
      <c r="AU20">
        <v>3</v>
      </c>
      <c r="AW20" s="1">
        <v>42</v>
      </c>
      <c r="AX20" s="1">
        <v>42</v>
      </c>
      <c r="AY20" s="169" t="s">
        <v>73</v>
      </c>
      <c r="AZ20" s="169" t="s">
        <v>73</v>
      </c>
      <c r="BA20" s="170" t="s">
        <v>160</v>
      </c>
      <c r="BB20" s="169">
        <v>1830</v>
      </c>
      <c r="BC20" s="102">
        <v>45639.325312499997</v>
      </c>
      <c r="BD20" s="87">
        <v>45639.283645833333</v>
      </c>
      <c r="BE20" s="169" t="s">
        <v>166</v>
      </c>
      <c r="BF20" s="169" t="s">
        <v>78</v>
      </c>
      <c r="BG20" s="169" t="s">
        <v>161</v>
      </c>
      <c r="BH20" s="169" t="s">
        <v>162</v>
      </c>
      <c r="BI20" s="169" t="s">
        <v>171</v>
      </c>
      <c r="BJ20" s="169" t="s">
        <v>171</v>
      </c>
      <c r="BK20" s="169">
        <v>23</v>
      </c>
      <c r="BL20" s="169" t="s">
        <v>73</v>
      </c>
      <c r="BM20" s="169" t="s">
        <v>73</v>
      </c>
      <c r="BN20" s="169" t="s">
        <v>73</v>
      </c>
      <c r="BO20" s="169" t="s">
        <v>73</v>
      </c>
      <c r="BP20" s="169" t="s">
        <v>73</v>
      </c>
      <c r="BQ20" s="169" t="s">
        <v>73</v>
      </c>
      <c r="BR20" s="1"/>
      <c r="BS20" s="169" t="s">
        <v>73</v>
      </c>
      <c r="BT20" s="169" t="s">
        <v>73</v>
      </c>
      <c r="BU20" s="169" t="s">
        <v>73</v>
      </c>
      <c r="BV20" s="169" t="s">
        <v>73</v>
      </c>
      <c r="BW20" s="1"/>
      <c r="BX20" s="1"/>
      <c r="BY20" s="1"/>
      <c r="BZ20" s="1"/>
      <c r="CA20" s="1"/>
      <c r="CB20" s="1"/>
      <c r="CC20" s="1"/>
      <c r="CD20" s="1"/>
      <c r="CE20" s="1"/>
      <c r="CF20" s="1"/>
      <c r="CG20" s="1"/>
      <c r="DC20" s="5"/>
      <c r="DD20" s="5"/>
      <c r="DI20" s="61"/>
      <c r="DL20"/>
      <c r="DM20"/>
      <c r="DN20"/>
      <c r="DO20"/>
      <c r="DP20"/>
      <c r="DQ20"/>
      <c r="DR20"/>
      <c r="DS20"/>
      <c r="DT20"/>
      <c r="DU20"/>
      <c r="DV20"/>
      <c r="DW20"/>
      <c r="EC20" s="1"/>
      <c r="ED20" s="1"/>
      <c r="EE20" s="1"/>
      <c r="EF20" s="1"/>
      <c r="EG20" s="1"/>
      <c r="EH20" s="1"/>
      <c r="EI20" s="1"/>
      <c r="EJ20" s="1"/>
      <c r="EO20"/>
      <c r="EP20"/>
      <c r="EQ20"/>
      <c r="ER20"/>
      <c r="ES20"/>
      <c r="ET20"/>
      <c r="EU20"/>
      <c r="EV20"/>
    </row>
    <row r="21" spans="1:152" ht="80" x14ac:dyDescent="0.2">
      <c r="A21" s="168" t="s">
        <v>138</v>
      </c>
      <c r="B21" s="168" t="s">
        <v>181</v>
      </c>
      <c r="C21" s="168" t="s">
        <v>159</v>
      </c>
      <c r="D21" s="169" t="s">
        <v>73</v>
      </c>
      <c r="E21" s="169" t="s">
        <v>72</v>
      </c>
      <c r="F21" s="169" t="s">
        <v>73</v>
      </c>
      <c r="G21" s="169" t="s">
        <v>73</v>
      </c>
      <c r="H21" s="169"/>
      <c r="I21" s="169">
        <v>7</v>
      </c>
      <c r="N21" s="169"/>
      <c r="O21" s="169"/>
      <c r="P21" s="169"/>
      <c r="Q21" s="169" t="s">
        <v>73</v>
      </c>
      <c r="R21" s="169" t="s">
        <v>73</v>
      </c>
      <c r="S21" s="169" t="s">
        <v>73</v>
      </c>
      <c r="T21" s="1">
        <v>1</v>
      </c>
      <c r="U21" s="1"/>
      <c r="V21" s="1"/>
      <c r="W21" s="1">
        <v>1</v>
      </c>
      <c r="X21" s="1"/>
      <c r="Y21" s="1"/>
      <c r="Z21" s="169" t="s">
        <v>72</v>
      </c>
      <c r="AA21" s="169" t="s">
        <v>73</v>
      </c>
      <c r="AC21" s="1"/>
      <c r="AE21" s="1"/>
      <c r="AF21" s="1"/>
      <c r="AK21" s="169" t="s">
        <v>73</v>
      </c>
      <c r="AL21" s="169" t="s">
        <v>72</v>
      </c>
      <c r="AM21" s="1">
        <v>6</v>
      </c>
      <c r="AN21" s="169" t="s">
        <v>72</v>
      </c>
      <c r="AO21" s="1">
        <v>6</v>
      </c>
      <c r="AP21" s="169" t="s">
        <v>73</v>
      </c>
      <c r="AR21" s="169" t="s">
        <v>72</v>
      </c>
      <c r="AS21" s="1">
        <v>6</v>
      </c>
      <c r="AT21" s="168" t="s">
        <v>73</v>
      </c>
      <c r="AW21" s="1">
        <v>90</v>
      </c>
      <c r="AX21" s="1">
        <v>0</v>
      </c>
      <c r="AY21" s="169" t="s">
        <v>73</v>
      </c>
      <c r="AZ21" s="169" t="s">
        <v>73</v>
      </c>
      <c r="BA21" s="170" t="s">
        <v>160</v>
      </c>
      <c r="BB21" s="169">
        <v>1826</v>
      </c>
      <c r="BC21" s="102">
        <v>45637.588495370372</v>
      </c>
      <c r="BD21" s="87">
        <v>45637.5468287037</v>
      </c>
      <c r="BE21" s="169" t="s">
        <v>159</v>
      </c>
      <c r="BF21" s="169" t="s">
        <v>78</v>
      </c>
      <c r="BG21" s="169" t="s">
        <v>161</v>
      </c>
      <c r="BH21" s="169" t="s">
        <v>162</v>
      </c>
      <c r="BI21" s="169" t="s">
        <v>163</v>
      </c>
      <c r="BJ21" s="169" t="s">
        <v>163</v>
      </c>
      <c r="BK21" s="169">
        <v>62</v>
      </c>
      <c r="BL21" s="169" t="s">
        <v>73</v>
      </c>
      <c r="BM21" s="169" t="s">
        <v>73</v>
      </c>
      <c r="BN21" s="169" t="s">
        <v>73</v>
      </c>
      <c r="BO21" s="169" t="s">
        <v>73</v>
      </c>
      <c r="BP21" s="169" t="s">
        <v>73</v>
      </c>
      <c r="BQ21" s="169" t="s">
        <v>73</v>
      </c>
      <c r="BR21" s="1"/>
      <c r="BS21" s="169" t="s">
        <v>73</v>
      </c>
      <c r="BT21" s="169" t="s">
        <v>73</v>
      </c>
      <c r="BU21" s="169" t="s">
        <v>73</v>
      </c>
      <c r="BV21" s="169" t="s">
        <v>73</v>
      </c>
      <c r="BW21" s="1"/>
      <c r="BX21" s="1"/>
      <c r="BY21" s="1"/>
      <c r="BZ21" s="1"/>
      <c r="CA21" s="1"/>
      <c r="CB21" s="1"/>
      <c r="CC21" s="1"/>
      <c r="CD21" s="1"/>
      <c r="CE21" s="1"/>
      <c r="CF21" s="1"/>
      <c r="CG21" s="1"/>
      <c r="DC21" s="5"/>
      <c r="DD21" s="5"/>
      <c r="DI21" s="61"/>
      <c r="DL21"/>
      <c r="DM21"/>
      <c r="DN21"/>
      <c r="DO21"/>
      <c r="DP21"/>
      <c r="DQ21"/>
      <c r="DR21"/>
      <c r="DS21"/>
      <c r="DT21"/>
      <c r="DU21"/>
      <c r="DV21"/>
      <c r="DW21"/>
      <c r="EC21" s="1"/>
      <c r="ED21" s="1"/>
      <c r="EE21" s="1"/>
      <c r="EF21" s="1"/>
      <c r="EG21" s="1"/>
      <c r="EH21" s="1"/>
      <c r="EI21" s="1"/>
      <c r="EJ21" s="1"/>
      <c r="EO21"/>
      <c r="EP21"/>
      <c r="EQ21"/>
      <c r="ER21"/>
      <c r="ES21"/>
      <c r="ET21"/>
      <c r="EU21"/>
      <c r="EV21"/>
    </row>
    <row r="22" spans="1:152" ht="64" x14ac:dyDescent="0.2">
      <c r="A22" s="168" t="s">
        <v>138</v>
      </c>
      <c r="B22" s="168" t="s">
        <v>175</v>
      </c>
      <c r="C22" s="168" t="s">
        <v>164</v>
      </c>
      <c r="D22" s="169" t="s">
        <v>73</v>
      </c>
      <c r="E22" s="169" t="s">
        <v>72</v>
      </c>
      <c r="F22" s="169" t="s">
        <v>73</v>
      </c>
      <c r="G22" s="169" t="s">
        <v>73</v>
      </c>
      <c r="H22" s="169"/>
      <c r="I22" s="169">
        <v>8</v>
      </c>
      <c r="N22" s="169"/>
      <c r="O22" s="169"/>
      <c r="P22" s="169"/>
      <c r="Q22" s="169" t="s">
        <v>73</v>
      </c>
      <c r="R22" s="169" t="s">
        <v>73</v>
      </c>
      <c r="S22" s="169" t="s">
        <v>73</v>
      </c>
      <c r="T22" s="1"/>
      <c r="U22" s="1"/>
      <c r="V22" s="1"/>
      <c r="W22" s="1"/>
      <c r="X22" s="1"/>
      <c r="Y22" s="1"/>
      <c r="Z22" s="169" t="s">
        <v>73</v>
      </c>
      <c r="AA22" s="169" t="s">
        <v>73</v>
      </c>
      <c r="AC22" s="1"/>
      <c r="AE22" s="1"/>
      <c r="AF22" s="1"/>
      <c r="AK22" s="169" t="s">
        <v>73</v>
      </c>
      <c r="AL22" s="169" t="s">
        <v>73</v>
      </c>
      <c r="AN22" s="169" t="s">
        <v>73</v>
      </c>
      <c r="AP22" s="169" t="s">
        <v>73</v>
      </c>
      <c r="AR22" s="169" t="s">
        <v>73</v>
      </c>
      <c r="AT22" s="168" t="s">
        <v>73</v>
      </c>
      <c r="AW22" s="1">
        <v>10</v>
      </c>
      <c r="AX22" s="1">
        <v>0</v>
      </c>
      <c r="AY22" s="169" t="s">
        <v>73</v>
      </c>
      <c r="AZ22" s="169" t="s">
        <v>73</v>
      </c>
      <c r="BA22" s="170" t="s">
        <v>165</v>
      </c>
      <c r="BB22" s="169">
        <v>1822</v>
      </c>
      <c r="BC22" s="102">
        <v>45635.787199074075</v>
      </c>
      <c r="BD22" s="87">
        <v>45635.745532407411</v>
      </c>
      <c r="BE22" s="169" t="s">
        <v>73</v>
      </c>
      <c r="BF22" s="169" t="s">
        <v>73</v>
      </c>
      <c r="BG22" s="169" t="s">
        <v>73</v>
      </c>
      <c r="BH22" s="169" t="s">
        <v>73</v>
      </c>
      <c r="BI22" s="169" t="s">
        <v>73</v>
      </c>
      <c r="BJ22" s="169" t="s">
        <v>73</v>
      </c>
      <c r="BK22" s="169"/>
      <c r="BL22" s="169" t="s">
        <v>73</v>
      </c>
      <c r="BM22" s="169" t="s">
        <v>73</v>
      </c>
      <c r="BN22" s="169" t="s">
        <v>73</v>
      </c>
      <c r="BO22" s="169" t="s">
        <v>73</v>
      </c>
      <c r="BP22" s="169" t="s">
        <v>73</v>
      </c>
      <c r="BQ22" s="169" t="s">
        <v>73</v>
      </c>
      <c r="BR22" s="1"/>
      <c r="BS22" s="169" t="s">
        <v>73</v>
      </c>
      <c r="BT22" s="169" t="s">
        <v>73</v>
      </c>
      <c r="BU22" s="169" t="s">
        <v>73</v>
      </c>
      <c r="BV22" s="169" t="s">
        <v>73</v>
      </c>
      <c r="BW22" s="1"/>
      <c r="BX22" s="1"/>
      <c r="BY22" s="1"/>
      <c r="BZ22" s="1"/>
      <c r="CA22" s="1"/>
      <c r="CB22" s="1"/>
      <c r="CC22" s="1"/>
      <c r="CD22" s="1"/>
      <c r="CE22" s="1"/>
      <c r="CF22" s="1"/>
      <c r="CG22" s="1"/>
      <c r="DC22" s="5"/>
      <c r="DD22" s="5"/>
      <c r="DI22" s="61"/>
      <c r="DL22"/>
      <c r="DM22"/>
      <c r="DN22"/>
      <c r="DO22"/>
      <c r="DP22"/>
      <c r="DQ22"/>
      <c r="DR22"/>
      <c r="DS22"/>
      <c r="DT22"/>
      <c r="DU22"/>
      <c r="DV22"/>
      <c r="DW22"/>
      <c r="EC22" s="1"/>
      <c r="ED22" s="1"/>
      <c r="EE22" s="1"/>
      <c r="EF22" s="1"/>
      <c r="EG22" s="1"/>
      <c r="EH22" s="1"/>
      <c r="EI22" s="1"/>
      <c r="EJ22" s="1"/>
      <c r="EO22"/>
      <c r="EP22"/>
      <c r="EQ22"/>
      <c r="ER22"/>
      <c r="ES22"/>
      <c r="ET22"/>
      <c r="EU22"/>
      <c r="EV22"/>
    </row>
    <row r="23" spans="1:152" ht="16" x14ac:dyDescent="0.2">
      <c r="A23" s="168" t="s">
        <v>138</v>
      </c>
      <c r="B23" s="168" t="s">
        <v>182</v>
      </c>
      <c r="C23" s="168" t="s">
        <v>150</v>
      </c>
      <c r="D23" s="169" t="s">
        <v>73</v>
      </c>
      <c r="E23" s="169" t="s">
        <v>72</v>
      </c>
      <c r="F23" s="169" t="s">
        <v>72</v>
      </c>
      <c r="G23" s="169" t="s">
        <v>73</v>
      </c>
      <c r="H23" s="169"/>
      <c r="I23" s="169">
        <v>3</v>
      </c>
      <c r="N23" s="169"/>
      <c r="O23" s="169"/>
      <c r="P23" s="169"/>
      <c r="Q23" s="169" t="s">
        <v>73</v>
      </c>
      <c r="R23" s="169" t="s">
        <v>73</v>
      </c>
      <c r="S23" s="169" t="s">
        <v>73</v>
      </c>
      <c r="T23" s="1"/>
      <c r="U23" s="1"/>
      <c r="V23" s="1"/>
      <c r="W23" s="1"/>
      <c r="X23" s="1"/>
      <c r="Y23" s="1"/>
      <c r="Z23" s="169" t="s">
        <v>73</v>
      </c>
      <c r="AA23" s="169" t="s">
        <v>73</v>
      </c>
      <c r="AC23" s="1"/>
      <c r="AE23" s="1"/>
      <c r="AF23" s="1"/>
      <c r="AK23" s="169" t="s">
        <v>73</v>
      </c>
      <c r="AL23" s="169" t="s">
        <v>72</v>
      </c>
      <c r="AM23" s="1">
        <v>6</v>
      </c>
      <c r="AN23" s="169" t="s">
        <v>72</v>
      </c>
      <c r="AO23" s="1">
        <v>6</v>
      </c>
      <c r="AP23" s="169" t="s">
        <v>73</v>
      </c>
      <c r="AR23" s="169" t="s">
        <v>72</v>
      </c>
      <c r="AS23" s="1">
        <v>3</v>
      </c>
      <c r="AT23" s="168" t="s">
        <v>73</v>
      </c>
      <c r="AW23" s="1">
        <v>30</v>
      </c>
      <c r="AX23" s="1">
        <v>2</v>
      </c>
      <c r="AY23" s="169" t="s">
        <v>73</v>
      </c>
      <c r="AZ23" s="169" t="s">
        <v>73</v>
      </c>
      <c r="BA23" s="170" t="s">
        <v>73</v>
      </c>
      <c r="BB23" s="169">
        <v>1819</v>
      </c>
      <c r="BC23" s="102">
        <v>45634.99622685185</v>
      </c>
      <c r="BD23" s="87">
        <v>45634.954560185186</v>
      </c>
      <c r="BE23" s="169" t="s">
        <v>73</v>
      </c>
      <c r="BF23" s="169" t="s">
        <v>73</v>
      </c>
      <c r="BG23" s="169" t="s">
        <v>73</v>
      </c>
      <c r="BH23" s="169" t="s">
        <v>73</v>
      </c>
      <c r="BI23" s="169" t="s">
        <v>73</v>
      </c>
      <c r="BJ23" s="169" t="s">
        <v>73</v>
      </c>
      <c r="BK23" s="169"/>
      <c r="BL23" s="169" t="s">
        <v>73</v>
      </c>
      <c r="BM23" s="169" t="s">
        <v>73</v>
      </c>
      <c r="BN23" s="169" t="s">
        <v>73</v>
      </c>
      <c r="BO23" s="169" t="s">
        <v>73</v>
      </c>
      <c r="BP23" s="169" t="s">
        <v>73</v>
      </c>
      <c r="BQ23" s="169" t="s">
        <v>73</v>
      </c>
      <c r="BR23" s="1"/>
      <c r="BS23" s="169" t="s">
        <v>73</v>
      </c>
      <c r="BT23" s="169" t="s">
        <v>73</v>
      </c>
      <c r="BU23" s="169" t="s">
        <v>73</v>
      </c>
      <c r="BV23" s="169" t="s">
        <v>73</v>
      </c>
      <c r="BW23" s="1"/>
      <c r="BX23" s="1"/>
      <c r="BY23" s="1"/>
      <c r="BZ23" s="1"/>
      <c r="CA23" s="1"/>
      <c r="CB23" s="1"/>
      <c r="CC23" s="1"/>
      <c r="CD23" s="1"/>
      <c r="CE23" s="1"/>
      <c r="CF23" s="1"/>
      <c r="CG23" s="1"/>
      <c r="DC23" s="5"/>
      <c r="DD23" s="5"/>
      <c r="DI23" s="61"/>
      <c r="DL23"/>
      <c r="DM23"/>
      <c r="DN23"/>
      <c r="DO23"/>
      <c r="DP23"/>
      <c r="DQ23"/>
      <c r="DR23"/>
      <c r="DS23"/>
      <c r="DT23"/>
      <c r="DU23"/>
      <c r="DV23"/>
      <c r="DW23"/>
      <c r="EC23" s="1"/>
      <c r="ED23" s="1"/>
      <c r="EE23" s="1"/>
      <c r="EF23" s="1"/>
      <c r="EG23" s="1"/>
      <c r="EH23" s="1"/>
      <c r="EI23" s="1"/>
      <c r="EJ23" s="1"/>
      <c r="EO23"/>
      <c r="EP23"/>
      <c r="EQ23"/>
      <c r="ER23"/>
      <c r="ES23"/>
      <c r="ET23"/>
      <c r="EU23"/>
      <c r="EV23"/>
    </row>
    <row r="24" spans="1:152" ht="16" x14ac:dyDescent="0.2">
      <c r="A24" s="168" t="s">
        <v>138</v>
      </c>
      <c r="B24" s="168" t="s">
        <v>183</v>
      </c>
      <c r="C24" s="168" t="s">
        <v>137</v>
      </c>
      <c r="D24" s="169" t="s">
        <v>73</v>
      </c>
      <c r="E24" s="169" t="s">
        <v>72</v>
      </c>
      <c r="F24" s="169" t="s">
        <v>72</v>
      </c>
      <c r="G24" s="169" t="s">
        <v>73</v>
      </c>
      <c r="H24" s="169"/>
      <c r="I24" s="169"/>
      <c r="N24" s="169"/>
      <c r="O24" s="169"/>
      <c r="P24" s="169"/>
      <c r="Q24" s="169" t="s">
        <v>73</v>
      </c>
      <c r="R24" s="169" t="s">
        <v>73</v>
      </c>
      <c r="S24" s="169" t="s">
        <v>73</v>
      </c>
      <c r="T24" s="1"/>
      <c r="U24" s="1"/>
      <c r="V24" s="1"/>
      <c r="W24" s="1"/>
      <c r="X24" s="1"/>
      <c r="Y24" s="1"/>
      <c r="Z24" s="169" t="s">
        <v>73</v>
      </c>
      <c r="AA24" s="169" t="s">
        <v>73</v>
      </c>
      <c r="AC24" s="1"/>
      <c r="AE24" s="1"/>
      <c r="AF24" s="1"/>
      <c r="AK24" s="169" t="s">
        <v>73</v>
      </c>
      <c r="AL24" s="169" t="s">
        <v>72</v>
      </c>
      <c r="AM24" s="1">
        <v>6</v>
      </c>
      <c r="AN24" s="169" t="s">
        <v>72</v>
      </c>
      <c r="AO24" s="1">
        <v>4</v>
      </c>
      <c r="AP24" s="169" t="s">
        <v>73</v>
      </c>
      <c r="AR24" s="169" t="s">
        <v>72</v>
      </c>
      <c r="AS24" s="1">
        <v>5</v>
      </c>
      <c r="AT24" s="168" t="s">
        <v>73</v>
      </c>
      <c r="AW24" s="1">
        <v>16</v>
      </c>
      <c r="AX24" s="1">
        <v>1</v>
      </c>
      <c r="AY24" s="169" t="s">
        <v>73</v>
      </c>
      <c r="AZ24" s="169" t="s">
        <v>73</v>
      </c>
      <c r="BA24" s="170" t="s">
        <v>73</v>
      </c>
      <c r="BB24" s="169">
        <v>1813</v>
      </c>
      <c r="BC24" s="102">
        <v>45630.951053240744</v>
      </c>
      <c r="BD24" s="87">
        <v>45631.712673611109</v>
      </c>
      <c r="BE24" s="169" t="s">
        <v>73</v>
      </c>
      <c r="BF24" s="169" t="s">
        <v>73</v>
      </c>
      <c r="BG24" s="169" t="s">
        <v>73</v>
      </c>
      <c r="BH24" s="169" t="s">
        <v>73</v>
      </c>
      <c r="BI24" s="169" t="s">
        <v>73</v>
      </c>
      <c r="BJ24" s="169" t="s">
        <v>73</v>
      </c>
      <c r="BK24" s="169"/>
      <c r="BL24" s="169" t="s">
        <v>73</v>
      </c>
      <c r="BM24" s="169" t="s">
        <v>73</v>
      </c>
      <c r="BN24" s="169" t="s">
        <v>73</v>
      </c>
      <c r="BO24" s="169" t="s">
        <v>73</v>
      </c>
      <c r="BP24" s="169" t="s">
        <v>73</v>
      </c>
      <c r="BQ24" s="169" t="s">
        <v>73</v>
      </c>
      <c r="BR24" s="1"/>
      <c r="BS24" s="169" t="s">
        <v>73</v>
      </c>
      <c r="BT24" s="169" t="s">
        <v>73</v>
      </c>
      <c r="BU24" s="169" t="s">
        <v>73</v>
      </c>
      <c r="BV24" s="169" t="s">
        <v>73</v>
      </c>
      <c r="BW24" s="1"/>
      <c r="BX24" s="1"/>
      <c r="BY24" s="1"/>
      <c r="BZ24" s="1"/>
      <c r="CA24" s="1"/>
      <c r="CB24" s="1"/>
      <c r="CC24" s="1"/>
      <c r="CD24" s="1"/>
      <c r="CE24" s="1"/>
      <c r="CF24" s="1"/>
      <c r="CG24" s="1"/>
      <c r="DC24" s="5"/>
      <c r="DD24" s="5"/>
      <c r="DI24" s="61"/>
      <c r="DL24"/>
      <c r="DM24"/>
      <c r="DN24"/>
      <c r="DO24"/>
      <c r="DP24"/>
      <c r="DQ24"/>
      <c r="DR24"/>
      <c r="DS24"/>
      <c r="DT24"/>
      <c r="DU24"/>
      <c r="DV24"/>
      <c r="DW24"/>
      <c r="EC24" s="1"/>
      <c r="ED24" s="1"/>
      <c r="EE24" s="1"/>
      <c r="EF24" s="1"/>
      <c r="EG24" s="1"/>
      <c r="EH24" s="1"/>
      <c r="EI24" s="1"/>
      <c r="EJ24" s="1"/>
      <c r="EO24"/>
      <c r="EP24"/>
      <c r="EQ24"/>
      <c r="ER24"/>
      <c r="ES24"/>
      <c r="ET24"/>
      <c r="EU24"/>
      <c r="EV24"/>
    </row>
    <row r="25" spans="1:152" ht="17" thickBot="1" x14ac:dyDescent="0.25">
      <c r="A25" s="168" t="s">
        <v>138</v>
      </c>
      <c r="B25" s="168" t="s">
        <v>178</v>
      </c>
      <c r="C25" s="168" t="s">
        <v>132</v>
      </c>
      <c r="D25" s="169" t="s">
        <v>73</v>
      </c>
      <c r="E25" s="169" t="s">
        <v>72</v>
      </c>
      <c r="F25" s="169" t="s">
        <v>72</v>
      </c>
      <c r="G25" s="169" t="s">
        <v>73</v>
      </c>
      <c r="H25" s="169"/>
      <c r="I25" s="169"/>
      <c r="N25" s="169"/>
      <c r="O25" s="169"/>
      <c r="P25" s="169"/>
      <c r="Q25" s="169" t="s">
        <v>73</v>
      </c>
      <c r="R25" s="169" t="s">
        <v>73</v>
      </c>
      <c r="S25" s="169" t="s">
        <v>73</v>
      </c>
      <c r="T25" s="1"/>
      <c r="U25" s="1"/>
      <c r="V25" s="1"/>
      <c r="W25" s="1"/>
      <c r="X25" s="1"/>
      <c r="Y25" s="1"/>
      <c r="Z25" s="169" t="s">
        <v>73</v>
      </c>
      <c r="AA25" s="169" t="s">
        <v>73</v>
      </c>
      <c r="AC25" s="1"/>
      <c r="AE25" s="1"/>
      <c r="AF25" s="1"/>
      <c r="AK25" s="169" t="s">
        <v>73</v>
      </c>
      <c r="AL25" s="169" t="s">
        <v>72</v>
      </c>
      <c r="AM25" s="1">
        <v>6</v>
      </c>
      <c r="AN25" s="169" t="s">
        <v>72</v>
      </c>
      <c r="AO25" s="1">
        <v>6</v>
      </c>
      <c r="AP25" s="169" t="s">
        <v>72</v>
      </c>
      <c r="AQ25" s="1">
        <v>6</v>
      </c>
      <c r="AR25" s="169" t="s">
        <v>72</v>
      </c>
      <c r="AS25" s="1">
        <v>6</v>
      </c>
      <c r="AT25" s="168" t="s">
        <v>72</v>
      </c>
      <c r="AU25">
        <v>1</v>
      </c>
      <c r="AV25">
        <v>1</v>
      </c>
      <c r="AW25" s="1">
        <v>25</v>
      </c>
      <c r="AX25" s="1">
        <v>3</v>
      </c>
      <c r="AY25" s="169" t="s">
        <v>73</v>
      </c>
      <c r="AZ25" s="169" t="s">
        <v>73</v>
      </c>
      <c r="BA25" s="170" t="s">
        <v>73</v>
      </c>
      <c r="BB25" s="169">
        <v>1808</v>
      </c>
      <c r="BC25" s="102">
        <v>45619.804212962961</v>
      </c>
      <c r="BD25" s="87">
        <v>45631.712268518517</v>
      </c>
      <c r="BE25" s="169" t="s">
        <v>73</v>
      </c>
      <c r="BF25" s="169" t="s">
        <v>73</v>
      </c>
      <c r="BG25" s="169" t="s">
        <v>73</v>
      </c>
      <c r="BH25" s="169" t="s">
        <v>73</v>
      </c>
      <c r="BI25" s="169" t="s">
        <v>73</v>
      </c>
      <c r="BJ25" s="169" t="s">
        <v>73</v>
      </c>
      <c r="BK25" s="169"/>
      <c r="BL25" s="169" t="s">
        <v>73</v>
      </c>
      <c r="BM25" s="169" t="s">
        <v>73</v>
      </c>
      <c r="BN25" s="169" t="s">
        <v>73</v>
      </c>
      <c r="BO25" s="169" t="s">
        <v>73</v>
      </c>
      <c r="BP25" s="169" t="s">
        <v>73</v>
      </c>
      <c r="BQ25" s="169" t="s">
        <v>73</v>
      </c>
      <c r="BR25" s="1"/>
      <c r="BS25" s="169" t="s">
        <v>73</v>
      </c>
      <c r="BT25" s="169" t="s">
        <v>73</v>
      </c>
      <c r="BU25" s="169" t="s">
        <v>73</v>
      </c>
      <c r="BV25" s="169" t="s">
        <v>73</v>
      </c>
      <c r="BW25" s="1"/>
      <c r="BX25" s="1"/>
      <c r="BY25" s="1"/>
      <c r="BZ25" s="1"/>
      <c r="CA25" s="1"/>
      <c r="CB25" s="1"/>
      <c r="CC25" s="1"/>
      <c r="CD25" s="1"/>
      <c r="CE25" s="1"/>
      <c r="CF25" s="1"/>
      <c r="CG25" s="1"/>
      <c r="DC25" s="5"/>
      <c r="DD25" s="5"/>
      <c r="DI25" s="61"/>
      <c r="DL25"/>
      <c r="DM25"/>
      <c r="DN25"/>
      <c r="DO25"/>
      <c r="DP25"/>
      <c r="DQ25"/>
      <c r="DR25"/>
      <c r="DS25"/>
      <c r="DT25"/>
      <c r="DU25"/>
      <c r="DV25"/>
      <c r="DW25"/>
      <c r="EC25" s="1"/>
      <c r="ED25" s="1"/>
      <c r="EE25" s="1"/>
      <c r="EF25" s="1"/>
      <c r="EG25" s="1"/>
      <c r="EH25" s="1"/>
      <c r="EI25" s="1"/>
      <c r="EJ25" s="1"/>
      <c r="EO25"/>
      <c r="EP25"/>
      <c r="EQ25"/>
      <c r="ER25"/>
      <c r="ES25"/>
      <c r="ET25"/>
      <c r="EU25"/>
      <c r="EV25"/>
    </row>
    <row r="26" spans="1:152" ht="16" thickTop="1" x14ac:dyDescent="0.2">
      <c r="A26" t="s">
        <v>79</v>
      </c>
      <c r="C26">
        <f>SUBTOTAL(103,FSD[Naam vereniging])</f>
        <v>19</v>
      </c>
      <c r="D26" s="1">
        <f>COUNTIF(FSD[Delegatie],"x")</f>
        <v>0</v>
      </c>
      <c r="E26" s="16">
        <f>COUNTIF(FSD[Muziekkorps bij mars en defilé],"x")</f>
        <v>18</v>
      </c>
      <c r="F26" s="16">
        <f>COUNTIF(FSD[Deeln. jeugdkoningschieten],"x")</f>
        <v>14</v>
      </c>
      <c r="G26" s="16">
        <f>COUNTIF(FSD[Maj. Senioren jureren bij mars],"x")</f>
        <v>1</v>
      </c>
      <c r="H26" s="16">
        <f>COUNTIF(FSD[Maj. Jeugd jureren bij mars],"x")</f>
        <v>2</v>
      </c>
      <c r="I26" s="1">
        <f>SUBTOTAL(103,FSD[Korps senioren])</f>
        <v>14</v>
      </c>
      <c r="J26" s="1">
        <f>SUBTOTAL(103,FSD[Junioren korps 1])</f>
        <v>4</v>
      </c>
      <c r="K26" s="1">
        <f>SUBTOTAL(103,FSD[Junioren korps 2])</f>
        <v>0</v>
      </c>
      <c r="L26" s="1">
        <f>SUBTOTAL(103,FSD[Aspiranten korps 1])</f>
        <v>2</v>
      </c>
      <c r="M26" s="1">
        <f>SUBTOTAL(103,FSD[Aspiranten korps 2])</f>
        <v>0</v>
      </c>
      <c r="N26" s="1">
        <f>SUBTOTAL(103,FSD[Acrobatisch senioren])</f>
        <v>1</v>
      </c>
      <c r="O26" s="1">
        <f>SUBTOTAL(103,FSD[Acrobatisch junioren])</f>
        <v>0</v>
      </c>
      <c r="P26" s="1">
        <f>SUBTOTAL(103,FSD[Acrobatisch aspiranten])</f>
        <v>0</v>
      </c>
      <c r="Q26" s="1"/>
      <c r="R26" s="1"/>
      <c r="S26" s="1"/>
      <c r="T26" s="79">
        <f>SUBTOTAL(109,FSD[Senioren indiv.])</f>
        <v>8</v>
      </c>
      <c r="U26" s="79">
        <f>SUBTOTAL(109,FSD[Junioren indiv.])</f>
        <v>3</v>
      </c>
      <c r="V26" s="1">
        <f>SUBTOTAL(109,FSD[Aspiranten indiv.])</f>
        <v>5</v>
      </c>
      <c r="W26" s="1">
        <f>SUBTOTAL(109,FSD[Sen. ind opgegeven namen])</f>
        <v>8</v>
      </c>
      <c r="X26" s="1">
        <f>SUBTOTAL(109,FSD[Jun. ind opgegeven namen])</f>
        <v>3</v>
      </c>
      <c r="Y26" s="1">
        <f>SUBTOTAL(109,FSD[Asp. ind opgegeven namen])</f>
        <v>5</v>
      </c>
      <c r="Z26" s="16">
        <f>COUNTIF(FSD[Hoofdkorps],"x")</f>
        <v>6</v>
      </c>
      <c r="AA26" s="120">
        <f>COUNTIF(FSD[2e korps],"x")</f>
        <v>0</v>
      </c>
      <c r="AB26" s="1">
        <f>SUBTOTAL(109,FSD[Groepen, teams, ensembles en duo''s])</f>
        <v>5</v>
      </c>
      <c r="AC26" s="1">
        <f>SUBTOTAL(109,FSD[Senioren])</f>
        <v>28</v>
      </c>
      <c r="AD26" s="1">
        <f>SUBTOTAL(109,FSD[Jong volwassene])</f>
        <v>0</v>
      </c>
      <c r="AE26" s="1">
        <f>SUBTOTAL(109,FSD[Junioren])</f>
        <v>1</v>
      </c>
      <c r="AF26" s="1">
        <f>SUBTOTAL(109,FSD[Aspiranten])</f>
        <v>4</v>
      </c>
      <c r="AG26" s="1">
        <f>SUBTOTAL(109,FSD[Opgegeven senioren])</f>
        <v>27</v>
      </c>
      <c r="AH26" s="1">
        <f>SUBTOTAL(109,FSD[Opgegeven jong volwassene])</f>
        <v>0</v>
      </c>
      <c r="AI26" s="1">
        <f>SUBTOTAL(109,FSD[Opgegeven junioren])</f>
        <v>1</v>
      </c>
      <c r="AJ26" s="1">
        <f>SUBTOTAL(109,FSD[Opgegeven aspiranten])</f>
        <v>4</v>
      </c>
      <c r="AK26" s="1">
        <f>COUNTIF(FSD[Marketentsters],"x")</f>
        <v>3</v>
      </c>
      <c r="AL26" s="1">
        <f>COUNTIF(FSD[Luchtgeweer],"x")</f>
        <v>12</v>
      </c>
      <c r="AM26" s="1">
        <f>SUBTOTAL(109,FSD[Aantal luchtgeweerschutters])</f>
        <v>67</v>
      </c>
      <c r="AN26" s="1">
        <f>COUNTIF(FSD[Luchtpistool],"x")</f>
        <v>11</v>
      </c>
      <c r="AO26" s="1">
        <f>SUBTOTAL(109,FSD[Aantal luchtpistoolschutters])</f>
        <v>59</v>
      </c>
      <c r="AP26" s="1">
        <f>COUNTIF(FSD[Handboog],"x")</f>
        <v>1</v>
      </c>
      <c r="AQ26" s="1">
        <f>SUBTOTAL(109,FSD[Aantal handboogschutters])</f>
        <v>6</v>
      </c>
      <c r="AR26" s="1">
        <f>COUNTIF(FSD[Kruisboog],"x")</f>
        <v>11</v>
      </c>
      <c r="AS26" s="1">
        <f>SUBTOTAL(109,FSD[Aantal kruisboogschutters])</f>
        <v>59</v>
      </c>
      <c r="AT26" s="1">
        <f>COUNTIF(FSD[Luchtgeweer jeugd niet ouder dan 17 jaar.],"x")</f>
        <v>6</v>
      </c>
      <c r="AU26" s="1">
        <f>SUBTOTAL(109,FSD[Aantal korpsen])</f>
        <v>12</v>
      </c>
      <c r="AV26" s="1">
        <f>SUBTOTAL(109,FSD[Opgegeven jeugdkorpsen LG])</f>
        <v>1</v>
      </c>
      <c r="AW26" s="1">
        <f>SUBTOTAL(109,FSD[Totaal aantal deelnemers])</f>
        <v>859</v>
      </c>
      <c r="AX26" s="1">
        <f>SUBTOTAL(109,FSD[Waarvan aantal jeugd (t/m 15 jaar)])</f>
        <v>153</v>
      </c>
      <c r="AY26" s="86">
        <f>COUNTIF(FSD[Kanon etc.],"x")</f>
        <v>5</v>
      </c>
      <c r="AZ26" s="1">
        <f>COUNTIF(FSD[Paarden en/of koetsen],"x")</f>
        <v>0</v>
      </c>
      <c r="BA26" s="63"/>
      <c r="BB26" s="1"/>
      <c r="BC26" s="1"/>
      <c r="BD26" s="1"/>
      <c r="BE26" s="1"/>
      <c r="BF26" s="1"/>
      <c r="BG26" s="1"/>
      <c r="BH26" s="1"/>
      <c r="BI26" s="1"/>
      <c r="BJ26" s="1"/>
      <c r="BK26" s="1"/>
      <c r="BL26" s="1"/>
      <c r="BM26" s="1"/>
      <c r="BN26" s="1"/>
      <c r="BO26" s="1"/>
      <c r="BP26" s="1"/>
      <c r="BQ26" s="1"/>
      <c r="BR26" s="1"/>
      <c r="BS26" s="1"/>
      <c r="BT26" s="1"/>
      <c r="BU26" s="1"/>
      <c r="BV26" s="1"/>
      <c r="BW26" s="1">
        <f>SUBTOTAL(109,FSD[Aantal opgegeven majorettes])</f>
        <v>24</v>
      </c>
      <c r="BX26" s="1"/>
      <c r="BY26" s="1"/>
      <c r="BZ26" s="1"/>
      <c r="CA26" s="1"/>
      <c r="CB26" s="1"/>
      <c r="CC26" s="1"/>
      <c r="CD26" s="1"/>
      <c r="CE26" s="1"/>
      <c r="CF26" s="1"/>
      <c r="CG26" s="1"/>
      <c r="DC26" s="5"/>
      <c r="DD26" s="5"/>
      <c r="DI26" s="61"/>
      <c r="DL26"/>
      <c r="DM26"/>
      <c r="DN26"/>
      <c r="DO26"/>
      <c r="DP26"/>
      <c r="DQ26"/>
      <c r="DR26"/>
      <c r="DS26"/>
      <c r="DT26"/>
      <c r="DU26"/>
      <c r="DV26"/>
      <c r="DW26"/>
      <c r="EC26" s="1"/>
      <c r="ED26" s="1"/>
      <c r="EE26" s="1"/>
      <c r="EF26" s="1"/>
      <c r="EG26" s="1"/>
      <c r="EH26" s="1"/>
      <c r="EI26" s="1"/>
      <c r="EJ26" s="1"/>
      <c r="EO26"/>
      <c r="EP26"/>
      <c r="EQ26"/>
      <c r="ER26"/>
      <c r="ES26"/>
      <c r="ET26"/>
      <c r="EU26"/>
      <c r="EV26"/>
    </row>
    <row r="27" spans="1:152" x14ac:dyDescent="0.2">
      <c r="BX27" s="1"/>
      <c r="BY27" s="1"/>
      <c r="BZ27" s="1"/>
      <c r="CA27" s="1"/>
      <c r="CB27" s="1"/>
      <c r="CC27" s="1"/>
      <c r="CD27" s="1"/>
      <c r="CE27" s="1"/>
      <c r="CF27" s="1"/>
      <c r="CG27" s="1"/>
      <c r="DC27" s="5"/>
      <c r="DD27" s="5"/>
      <c r="DI27" s="61"/>
      <c r="DL27"/>
      <c r="DM27"/>
      <c r="DN27"/>
      <c r="DO27"/>
      <c r="DP27"/>
      <c r="DQ27"/>
      <c r="DR27"/>
      <c r="DS27"/>
      <c r="DT27"/>
      <c r="DU27"/>
      <c r="DV27"/>
      <c r="DW27"/>
      <c r="EC27" s="1"/>
      <c r="ED27" s="1"/>
      <c r="EE27" s="1"/>
      <c r="EF27" s="1"/>
      <c r="EG27" s="1"/>
      <c r="EH27" s="1"/>
      <c r="EI27" s="1"/>
      <c r="EJ27" s="1"/>
      <c r="EO27"/>
      <c r="EP27"/>
      <c r="EQ27"/>
      <c r="ER27"/>
      <c r="ES27"/>
      <c r="ET27"/>
      <c r="EU27"/>
      <c r="EV27"/>
    </row>
    <row r="28" spans="1:152" x14ac:dyDescent="0.2">
      <c r="C28" s="32"/>
      <c r="BX28" s="1"/>
      <c r="BY28" s="1"/>
      <c r="BZ28" s="1"/>
      <c r="CA28" s="1"/>
      <c r="CB28" s="1"/>
      <c r="CC28" s="1"/>
      <c r="CD28" s="1"/>
      <c r="CE28" s="1"/>
      <c r="CF28" s="1"/>
      <c r="CG28" s="1"/>
      <c r="DC28" s="5"/>
      <c r="DD28" s="5"/>
      <c r="DI28" s="61"/>
      <c r="DL28"/>
      <c r="DM28"/>
      <c r="DN28"/>
      <c r="DO28"/>
      <c r="DP28"/>
      <c r="DQ28"/>
      <c r="DR28"/>
      <c r="DS28"/>
      <c r="DT28"/>
      <c r="DU28"/>
      <c r="DV28"/>
      <c r="DW28"/>
      <c r="EC28" s="1"/>
      <c r="ED28" s="1"/>
      <c r="EE28" s="1"/>
      <c r="EF28" s="1"/>
      <c r="EG28" s="1"/>
      <c r="EH28" s="1"/>
      <c r="EI28" s="1"/>
      <c r="EJ28" s="1"/>
      <c r="EO28"/>
      <c r="EP28"/>
      <c r="EQ28"/>
      <c r="ER28"/>
      <c r="ES28"/>
      <c r="ET28"/>
      <c r="EU28"/>
      <c r="EV28"/>
    </row>
    <row r="29" spans="1:152" x14ac:dyDescent="0.2">
      <c r="B29" s="81"/>
      <c r="C29" s="81"/>
      <c r="D29" s="70"/>
      <c r="BX29" s="1"/>
      <c r="BY29" s="1"/>
      <c r="BZ29" s="1"/>
      <c r="CA29" s="1"/>
      <c r="CB29" s="1"/>
      <c r="CC29" s="1"/>
      <c r="CD29" s="1"/>
      <c r="CE29" s="1"/>
      <c r="CF29" s="1"/>
      <c r="CG29" s="1"/>
      <c r="DC29" s="5"/>
      <c r="DD29" s="5"/>
      <c r="DI29" s="61"/>
      <c r="DL29"/>
      <c r="DM29"/>
      <c r="DN29"/>
      <c r="DO29"/>
      <c r="DP29"/>
      <c r="DQ29"/>
      <c r="DR29"/>
      <c r="DS29"/>
      <c r="DT29"/>
      <c r="DU29"/>
      <c r="DV29"/>
      <c r="DW29"/>
      <c r="EC29" s="1"/>
      <c r="ED29" s="1"/>
      <c r="EE29" s="1"/>
      <c r="EF29" s="1"/>
      <c r="EG29" s="1"/>
      <c r="EH29" s="1"/>
      <c r="EI29" s="1"/>
      <c r="EJ29" s="1"/>
      <c r="EO29"/>
      <c r="EP29"/>
      <c r="EQ29"/>
      <c r="ER29"/>
      <c r="ES29"/>
      <c r="ET29"/>
      <c r="EU29"/>
      <c r="EV29"/>
    </row>
    <row r="30" spans="1:152" x14ac:dyDescent="0.2">
      <c r="BX30" s="1"/>
      <c r="BY30" s="1"/>
      <c r="BZ30" s="1"/>
      <c r="CA30" s="1"/>
      <c r="CB30" s="1"/>
      <c r="CC30" s="1"/>
      <c r="CD30" s="1"/>
      <c r="CE30" s="1"/>
      <c r="CF30" s="1"/>
      <c r="CG30" s="1"/>
      <c r="DC30" s="5"/>
      <c r="DD30" s="5"/>
      <c r="DI30" s="61"/>
      <c r="DL30"/>
      <c r="DM30"/>
      <c r="DN30"/>
      <c r="DO30"/>
      <c r="DP30"/>
      <c r="DQ30"/>
      <c r="DR30"/>
      <c r="DS30"/>
      <c r="DT30"/>
      <c r="DU30"/>
      <c r="DV30"/>
      <c r="DW30"/>
      <c r="EC30" s="1"/>
      <c r="ED30" s="1"/>
      <c r="EE30" s="1"/>
      <c r="EF30" s="1"/>
      <c r="EG30" s="1"/>
      <c r="EH30" s="1"/>
      <c r="EI30" s="1"/>
      <c r="EJ30" s="1"/>
      <c r="EO30"/>
      <c r="EP30"/>
      <c r="EQ30"/>
      <c r="ER30"/>
      <c r="ES30"/>
      <c r="ET30"/>
      <c r="EU30"/>
      <c r="EV30"/>
    </row>
    <row r="31" spans="1:152" x14ac:dyDescent="0.2">
      <c r="B31" s="81"/>
      <c r="C31" s="81"/>
      <c r="D31" s="70"/>
      <c r="R31" s="70"/>
      <c r="BX31" s="1"/>
      <c r="BY31" s="1"/>
      <c r="BZ31" s="1"/>
      <c r="CA31" s="1"/>
      <c r="CB31" s="1"/>
      <c r="CC31" s="1"/>
      <c r="CD31" s="1"/>
      <c r="CE31" s="1"/>
      <c r="CF31" s="1"/>
      <c r="CG31" s="1"/>
      <c r="DC31" s="5"/>
      <c r="DD31" s="5"/>
      <c r="DI31" s="61"/>
      <c r="DL31"/>
      <c r="DM31"/>
      <c r="DN31"/>
      <c r="DO31"/>
      <c r="DP31"/>
      <c r="DQ31"/>
      <c r="DR31"/>
      <c r="DS31"/>
      <c r="DT31"/>
      <c r="DU31"/>
      <c r="DV31"/>
      <c r="DW31"/>
      <c r="EC31" s="1"/>
      <c r="ED31" s="1"/>
      <c r="EE31" s="1"/>
      <c r="EF31" s="1"/>
      <c r="EG31" s="1"/>
      <c r="EH31" s="1"/>
      <c r="EI31" s="1"/>
      <c r="EJ31" s="1"/>
      <c r="EO31"/>
      <c r="EP31"/>
      <c r="EQ31"/>
      <c r="ER31"/>
      <c r="ES31"/>
      <c r="ET31"/>
      <c r="EU31"/>
      <c r="EV31"/>
    </row>
    <row r="32" spans="1:152" x14ac:dyDescent="0.2">
      <c r="BX32" s="1"/>
      <c r="BY32" s="1"/>
      <c r="BZ32" s="1"/>
      <c r="CA32" s="1"/>
      <c r="CB32" s="1"/>
      <c r="CC32" s="1"/>
      <c r="CD32" s="1"/>
      <c r="CE32" s="1"/>
      <c r="CF32" s="1"/>
      <c r="CG32" s="1"/>
      <c r="DC32" s="5"/>
      <c r="DD32" s="5"/>
      <c r="DI32" s="61"/>
      <c r="DL32"/>
      <c r="DM32"/>
      <c r="DN32"/>
      <c r="DO32"/>
      <c r="DP32"/>
      <c r="DQ32"/>
      <c r="DR32"/>
      <c r="DS32"/>
      <c r="DT32"/>
      <c r="DU32"/>
      <c r="DV32"/>
      <c r="DW32"/>
      <c r="EC32" s="1"/>
      <c r="ED32" s="1"/>
      <c r="EE32" s="1"/>
      <c r="EF32" s="1"/>
      <c r="EG32" s="1"/>
      <c r="EH32" s="1"/>
      <c r="EI32" s="1"/>
      <c r="EJ32" s="1"/>
      <c r="EO32"/>
      <c r="EP32"/>
      <c r="EQ32"/>
      <c r="ER32"/>
      <c r="ES32"/>
      <c r="ET32"/>
      <c r="EU32"/>
      <c r="EV32"/>
    </row>
    <row r="33" spans="2:152" x14ac:dyDescent="0.2">
      <c r="B33" s="81"/>
      <c r="C33" s="81"/>
      <c r="D33" s="70"/>
      <c r="R33" s="82"/>
      <c r="BX33" s="1"/>
      <c r="BY33" s="1"/>
      <c r="BZ33" s="1"/>
      <c r="CA33" s="1"/>
      <c r="CB33" s="1"/>
      <c r="CC33" s="1"/>
      <c r="CD33" s="1"/>
      <c r="CE33" s="1"/>
      <c r="CF33" s="1"/>
      <c r="CG33" s="1"/>
      <c r="DC33" s="5"/>
      <c r="DD33" s="5"/>
      <c r="DI33" s="61"/>
      <c r="DL33"/>
      <c r="DM33"/>
      <c r="DN33"/>
      <c r="DO33"/>
      <c r="DP33"/>
      <c r="DQ33"/>
      <c r="DR33"/>
      <c r="DS33"/>
      <c r="DT33"/>
      <c r="DU33"/>
      <c r="DV33"/>
      <c r="DW33"/>
      <c r="EC33" s="1"/>
      <c r="ED33" s="1"/>
      <c r="EE33" s="1"/>
      <c r="EF33" s="1"/>
      <c r="EG33" s="1"/>
      <c r="EH33" s="1"/>
      <c r="EI33" s="1"/>
      <c r="EJ33" s="1"/>
      <c r="EO33"/>
      <c r="EP33"/>
      <c r="EQ33"/>
      <c r="ER33"/>
      <c r="ES33"/>
      <c r="ET33"/>
      <c r="EU33"/>
      <c r="EV33"/>
    </row>
    <row r="34" spans="2:152" x14ac:dyDescent="0.2">
      <c r="D34" s="70"/>
      <c r="R34" s="70"/>
      <c r="BX34" s="1"/>
      <c r="BY34" s="1"/>
      <c r="BZ34" s="1"/>
      <c r="CA34" s="1"/>
      <c r="CB34" s="1"/>
      <c r="CC34" s="1"/>
      <c r="CD34" s="1"/>
      <c r="CE34" s="1"/>
      <c r="CF34" s="1"/>
      <c r="CG34" s="1"/>
      <c r="DC34" s="5"/>
      <c r="DD34" s="5"/>
      <c r="DI34" s="61"/>
      <c r="DL34"/>
      <c r="DM34"/>
      <c r="DN34"/>
      <c r="DO34"/>
      <c r="DP34"/>
      <c r="DQ34"/>
      <c r="DR34"/>
      <c r="DS34"/>
      <c r="DT34"/>
      <c r="DU34"/>
      <c r="DV34"/>
      <c r="DW34"/>
      <c r="EC34" s="1"/>
      <c r="ED34" s="1"/>
      <c r="EE34" s="1"/>
      <c r="EF34" s="1"/>
      <c r="EG34" s="1"/>
      <c r="EH34" s="1"/>
      <c r="EI34" s="1"/>
      <c r="EJ34" s="1"/>
      <c r="EO34"/>
      <c r="EP34"/>
      <c r="EQ34"/>
      <c r="ER34"/>
      <c r="ES34"/>
      <c r="ET34"/>
      <c r="EU34"/>
      <c r="EV34"/>
    </row>
    <row r="35" spans="2:152" x14ac:dyDescent="0.2">
      <c r="BX35" s="1"/>
      <c r="BY35" s="1"/>
      <c r="BZ35" s="1"/>
      <c r="CA35" s="1"/>
      <c r="CB35" s="1"/>
      <c r="CC35" s="1"/>
      <c r="CD35" s="1"/>
      <c r="CE35" s="1"/>
      <c r="CF35" s="1"/>
      <c r="CG35" s="1"/>
      <c r="DC35" s="5"/>
      <c r="DD35" s="5"/>
      <c r="DI35" s="61"/>
      <c r="DL35"/>
      <c r="DM35"/>
      <c r="DN35"/>
      <c r="DO35"/>
      <c r="DP35"/>
      <c r="DQ35"/>
      <c r="DR35"/>
      <c r="DS35"/>
      <c r="DT35"/>
      <c r="DU35"/>
      <c r="DV35"/>
      <c r="DW35"/>
      <c r="EC35" s="1"/>
      <c r="ED35" s="1"/>
      <c r="EE35" s="1"/>
      <c r="EF35" s="1"/>
      <c r="EG35" s="1"/>
      <c r="EH35" s="1"/>
      <c r="EI35" s="1"/>
      <c r="EJ35" s="1"/>
      <c r="EO35"/>
      <c r="EP35"/>
      <c r="EQ35"/>
      <c r="ER35"/>
      <c r="ES35"/>
      <c r="ET35"/>
      <c r="EU35"/>
      <c r="EV35"/>
    </row>
    <row r="36" spans="2:152" x14ac:dyDescent="0.2">
      <c r="BX36" s="1"/>
      <c r="BY36" s="1"/>
      <c r="BZ36" s="1"/>
      <c r="CA36" s="1"/>
      <c r="CB36" s="1"/>
      <c r="CC36" s="1"/>
      <c r="CD36" s="1"/>
      <c r="CE36" s="1"/>
      <c r="CF36" s="1"/>
      <c r="CG36" s="1"/>
      <c r="DC36" s="5"/>
      <c r="DD36" s="5"/>
      <c r="DI36" s="61"/>
      <c r="DL36"/>
      <c r="DM36"/>
      <c r="DN36"/>
      <c r="DO36"/>
      <c r="DP36"/>
      <c r="DQ36"/>
      <c r="DR36"/>
      <c r="DS36"/>
      <c r="DT36"/>
      <c r="DU36"/>
      <c r="DV36"/>
      <c r="DW36"/>
      <c r="EC36" s="1"/>
      <c r="ED36" s="1"/>
      <c r="EE36" s="1"/>
      <c r="EF36" s="1"/>
      <c r="EG36" s="1"/>
      <c r="EH36" s="1"/>
      <c r="EI36" s="1"/>
      <c r="EJ36" s="1"/>
      <c r="EO36"/>
      <c r="EP36"/>
      <c r="EQ36"/>
      <c r="ER36"/>
      <c r="ES36"/>
      <c r="ET36"/>
      <c r="EU36"/>
      <c r="EV36"/>
    </row>
    <row r="37" spans="2:152" x14ac:dyDescent="0.2">
      <c r="BX37" s="1"/>
      <c r="BY37" s="1"/>
      <c r="BZ37" s="1"/>
      <c r="CA37" s="1"/>
      <c r="CB37" s="1"/>
      <c r="CC37" s="1"/>
      <c r="CD37" s="1"/>
      <c r="CE37" s="1"/>
      <c r="CF37" s="1"/>
      <c r="CG37" s="1"/>
      <c r="DC37" s="5"/>
      <c r="DD37" s="5"/>
      <c r="DI37" s="61"/>
      <c r="DL37"/>
      <c r="DM37"/>
      <c r="DN37"/>
      <c r="DO37"/>
      <c r="DP37"/>
      <c r="DQ37"/>
      <c r="DR37"/>
      <c r="DS37"/>
      <c r="DT37"/>
      <c r="DU37"/>
      <c r="DV37"/>
      <c r="DW37"/>
      <c r="EC37" s="1"/>
      <c r="ED37" s="1"/>
      <c r="EE37" s="1"/>
      <c r="EF37" s="1"/>
      <c r="EG37" s="1"/>
      <c r="EH37" s="1"/>
      <c r="EI37" s="1"/>
      <c r="EJ37" s="1"/>
      <c r="EO37"/>
      <c r="EP37"/>
      <c r="EQ37"/>
      <c r="ER37"/>
      <c r="ES37"/>
      <c r="ET37"/>
      <c r="EU37"/>
      <c r="EV37"/>
    </row>
    <row r="38" spans="2:152" x14ac:dyDescent="0.2">
      <c r="BX38" s="1"/>
      <c r="BY38" s="1"/>
      <c r="BZ38" s="1"/>
      <c r="CA38" s="1"/>
      <c r="CB38" s="1"/>
      <c r="CC38" s="1"/>
      <c r="CD38" s="1"/>
      <c r="CE38" s="1"/>
      <c r="CF38" s="1"/>
      <c r="CG38" s="1"/>
      <c r="DC38" s="5"/>
      <c r="DD38" s="5"/>
      <c r="DI38" s="61"/>
      <c r="DL38"/>
      <c r="DM38"/>
      <c r="DN38"/>
      <c r="DO38"/>
      <c r="DP38"/>
      <c r="DQ38"/>
      <c r="DR38"/>
      <c r="DS38"/>
      <c r="DT38"/>
      <c r="DU38"/>
      <c r="DV38"/>
      <c r="DW38"/>
      <c r="EC38" s="1"/>
      <c r="ED38" s="1"/>
      <c r="EE38" s="1"/>
      <c r="EF38" s="1"/>
      <c r="EG38" s="1"/>
      <c r="EH38" s="1"/>
      <c r="EI38" s="1"/>
      <c r="EJ38" s="1"/>
      <c r="EO38"/>
      <c r="EP38"/>
      <c r="EQ38"/>
      <c r="ER38"/>
      <c r="ES38"/>
      <c r="ET38"/>
      <c r="EU38"/>
      <c r="EV38"/>
    </row>
    <row r="39" spans="2:152" x14ac:dyDescent="0.2">
      <c r="BX39" s="1"/>
      <c r="BY39" s="1"/>
      <c r="BZ39" s="1"/>
      <c r="CA39" s="1"/>
      <c r="CB39" s="1"/>
      <c r="CC39" s="1"/>
      <c r="CD39" s="1"/>
      <c r="CE39" s="1"/>
      <c r="CF39" s="1"/>
      <c r="CG39" s="1"/>
      <c r="DC39" s="5"/>
      <c r="DD39" s="5"/>
      <c r="DI39" s="61"/>
      <c r="DL39"/>
      <c r="DM39"/>
      <c r="DN39"/>
      <c r="DO39"/>
      <c r="DP39"/>
      <c r="DQ39"/>
      <c r="DR39"/>
      <c r="DS39"/>
      <c r="DT39"/>
      <c r="DU39"/>
      <c r="DV39"/>
      <c r="DW39"/>
      <c r="EC39" s="1"/>
      <c r="ED39" s="1"/>
      <c r="EE39" s="1"/>
      <c r="EF39" s="1"/>
      <c r="EG39" s="1"/>
      <c r="EH39" s="1"/>
      <c r="EI39" s="1"/>
      <c r="EJ39" s="1"/>
      <c r="EO39"/>
      <c r="EP39"/>
      <c r="EQ39"/>
      <c r="ER39"/>
      <c r="ES39"/>
      <c r="ET39"/>
      <c r="EU39"/>
      <c r="EV39"/>
    </row>
  </sheetData>
  <mergeCells count="15">
    <mergeCell ref="A1:BW1"/>
    <mergeCell ref="A2:BW2"/>
    <mergeCell ref="D3:H3"/>
    <mergeCell ref="I3:Y3"/>
    <mergeCell ref="Z3:AA3"/>
    <mergeCell ref="AL3:AV3"/>
    <mergeCell ref="BE3:BR3"/>
    <mergeCell ref="AW3:BD3"/>
    <mergeCell ref="BS3:BW3"/>
    <mergeCell ref="BL4:BR4"/>
    <mergeCell ref="I4:M4"/>
    <mergeCell ref="N4:P4"/>
    <mergeCell ref="Q4:S4"/>
    <mergeCell ref="T4:Y4"/>
    <mergeCell ref="BE4:BK4"/>
  </mergeCells>
  <phoneticPr fontId="2" type="noConversion"/>
  <conditionalFormatting sqref="W6:W25">
    <cfRule type="expression" dxfId="13" priority="1">
      <formula>$T6-$W6&lt;&gt;0</formula>
    </cfRule>
  </conditionalFormatting>
  <conditionalFormatting sqref="X6:X25">
    <cfRule type="expression" dxfId="12" priority="2">
      <formula>$U6-$X6&lt;&gt;0</formula>
    </cfRule>
  </conditionalFormatting>
  <conditionalFormatting sqref="Y6:Y25">
    <cfRule type="expression" dxfId="11" priority="3">
      <formula>$V6-$Y6&lt;&gt;0</formula>
    </cfRule>
  </conditionalFormatting>
  <pageMargins left="0.25" right="0.25" top="0.75" bottom="0.75" header="0.3" footer="0.3"/>
  <pageSetup paperSize="9" scale="50" fitToHeight="0" orientation="landscape" horizontalDpi="12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B6243C-AE29-44A8-A9C0-19C41604C858}">
  <sheetPr>
    <pageSetUpPr fitToPage="1"/>
  </sheetPr>
  <dimension ref="A1:AI26"/>
  <sheetViews>
    <sheetView tabSelected="1" zoomScale="110" zoomScaleNormal="110" workbookViewId="0">
      <selection activeCell="G24" sqref="G24"/>
    </sheetView>
  </sheetViews>
  <sheetFormatPr baseColWidth="10" defaultColWidth="9.1640625" defaultRowHeight="16" x14ac:dyDescent="0.2"/>
  <cols>
    <col min="1" max="1" width="13.33203125" style="36" bestFit="1" customWidth="1"/>
    <col min="2" max="2" width="16" style="36" bestFit="1" customWidth="1"/>
    <col min="3" max="4" width="9.1640625" style="36" bestFit="1" customWidth="1"/>
    <col min="5" max="5" width="44.6640625" style="36" bestFit="1" customWidth="1"/>
    <col min="6" max="6" width="8.6640625" style="36" bestFit="1" customWidth="1"/>
    <col min="7" max="8" width="8.5" style="36" bestFit="1" customWidth="1"/>
    <col min="9" max="10" width="11" style="36" bestFit="1" customWidth="1"/>
    <col min="11" max="12" width="3.6640625" style="36" bestFit="1" customWidth="1"/>
    <col min="13" max="13" width="6.33203125" style="36" bestFit="1" customWidth="1"/>
    <col min="14" max="15" width="21.1640625" style="36" hidden="1" customWidth="1"/>
    <col min="16" max="16" width="23.33203125" style="36" hidden="1" customWidth="1"/>
    <col min="17" max="17" width="3.6640625" style="36" bestFit="1" customWidth="1"/>
    <col min="18" max="19" width="3.6640625" style="69" bestFit="1" customWidth="1"/>
    <col min="20" max="20" width="13.33203125" style="69" bestFit="1" customWidth="1"/>
    <col min="21" max="21" width="19.33203125" style="69" bestFit="1" customWidth="1"/>
    <col min="22" max="22" width="27.33203125" style="69" bestFit="1" customWidth="1"/>
    <col min="23" max="23" width="16.1640625" style="69" bestFit="1" customWidth="1"/>
    <col min="24" max="25" width="19.6640625" style="36" bestFit="1" customWidth="1"/>
    <col min="26" max="26" width="5.83203125" style="36" bestFit="1" customWidth="1"/>
    <col min="27" max="27" width="6.33203125" style="36" bestFit="1" customWidth="1"/>
    <col min="28" max="28" width="15.6640625" style="36" bestFit="1" customWidth="1"/>
    <col min="29" max="30" width="12.1640625" style="36" customWidth="1"/>
    <col min="31" max="32" width="15.83203125" style="36" bestFit="1" customWidth="1"/>
    <col min="33" max="16384" width="9.1640625" style="36"/>
  </cols>
  <sheetData>
    <row r="1" spans="1:35" ht="24" x14ac:dyDescent="0.2">
      <c r="A1" s="154" t="s">
        <v>144</v>
      </c>
      <c r="B1" s="154"/>
      <c r="C1" s="154"/>
      <c r="D1" s="154"/>
      <c r="E1" s="154"/>
      <c r="F1" s="154"/>
      <c r="G1" s="154"/>
      <c r="H1" s="154"/>
      <c r="I1" s="154"/>
      <c r="J1" s="154"/>
      <c r="K1" s="154"/>
      <c r="L1" s="154"/>
      <c r="M1" s="154"/>
      <c r="N1" s="154"/>
      <c r="O1" s="154"/>
      <c r="P1" s="154"/>
      <c r="Q1" s="154"/>
      <c r="R1" s="154"/>
      <c r="S1" s="154"/>
      <c r="T1" s="154"/>
      <c r="U1" s="154"/>
      <c r="V1" s="154"/>
      <c r="W1" s="154"/>
      <c r="X1" s="154"/>
      <c r="Y1" s="154"/>
      <c r="Z1" s="76"/>
      <c r="AA1" s="76"/>
      <c r="AB1" s="76"/>
      <c r="AC1" s="35"/>
      <c r="AD1" s="35"/>
      <c r="AE1" s="35"/>
    </row>
    <row r="2" spans="1:35" ht="24" x14ac:dyDescent="0.2">
      <c r="A2" s="154" t="s">
        <v>145</v>
      </c>
      <c r="B2" s="154"/>
      <c r="C2" s="154"/>
      <c r="D2" s="154"/>
      <c r="E2" s="154"/>
      <c r="F2" s="154"/>
      <c r="G2" s="154"/>
      <c r="H2" s="154"/>
      <c r="I2" s="154"/>
      <c r="J2" s="154"/>
      <c r="K2" s="154"/>
      <c r="L2" s="154"/>
      <c r="M2" s="154"/>
      <c r="N2" s="154"/>
      <c r="O2" s="154"/>
      <c r="P2" s="154"/>
      <c r="Q2" s="154"/>
      <c r="R2" s="154"/>
      <c r="S2" s="154"/>
      <c r="T2" s="154"/>
      <c r="U2" s="154"/>
      <c r="V2" s="154"/>
      <c r="W2" s="154"/>
      <c r="X2" s="154"/>
      <c r="Y2" s="154"/>
      <c r="Z2" s="76"/>
      <c r="AA2" s="76"/>
      <c r="AB2" s="76"/>
      <c r="AC2" s="35"/>
      <c r="AD2" s="35"/>
      <c r="AE2" s="35"/>
    </row>
    <row r="3" spans="1:35" ht="15" customHeight="1" thickBot="1" x14ac:dyDescent="0.25">
      <c r="A3" s="35"/>
      <c r="B3" s="35"/>
      <c r="C3" s="35"/>
      <c r="D3" s="35"/>
      <c r="E3" s="35"/>
      <c r="F3" s="35"/>
      <c r="G3" s="35"/>
      <c r="H3" s="35"/>
      <c r="I3" s="35"/>
      <c r="J3" s="35"/>
      <c r="K3" s="35"/>
      <c r="L3" s="35"/>
      <c r="M3" s="35"/>
      <c r="N3" s="35"/>
      <c r="O3" s="35"/>
      <c r="P3" s="37"/>
      <c r="Q3" s="35"/>
      <c r="R3" s="66"/>
      <c r="S3" s="66"/>
      <c r="T3" s="66"/>
      <c r="U3" s="66"/>
      <c r="V3" s="66"/>
      <c r="W3" s="66"/>
      <c r="X3" s="35"/>
      <c r="Y3" s="35"/>
      <c r="Z3" s="35"/>
      <c r="AA3" s="35"/>
      <c r="AB3" s="35"/>
      <c r="AC3" s="35"/>
      <c r="AD3" s="35"/>
      <c r="AE3" s="35"/>
    </row>
    <row r="4" spans="1:35" ht="24" x14ac:dyDescent="0.2">
      <c r="A4" s="38"/>
      <c r="B4" s="39"/>
      <c r="C4" s="39"/>
      <c r="D4" s="39"/>
      <c r="E4" s="40"/>
      <c r="F4" s="158" t="s">
        <v>87</v>
      </c>
      <c r="G4" s="159"/>
      <c r="H4" s="159"/>
      <c r="I4" s="159"/>
      <c r="J4" s="160"/>
      <c r="K4" s="158" t="s">
        <v>87</v>
      </c>
      <c r="L4" s="159"/>
      <c r="M4" s="160"/>
      <c r="N4" s="158" t="s">
        <v>87</v>
      </c>
      <c r="O4" s="159"/>
      <c r="P4" s="160"/>
      <c r="Q4" s="161" t="s">
        <v>88</v>
      </c>
      <c r="R4" s="162"/>
      <c r="S4" s="162"/>
      <c r="T4" s="67"/>
      <c r="U4" s="84"/>
      <c r="V4" s="84"/>
      <c r="W4" s="84"/>
      <c r="X4" s="84"/>
      <c r="Y4" s="84"/>
      <c r="Z4" s="39"/>
      <c r="AA4" s="40"/>
      <c r="AB4" s="35"/>
      <c r="AC4" s="35"/>
      <c r="AD4" s="35"/>
      <c r="AE4" s="35"/>
      <c r="AF4" s="35"/>
      <c r="AG4" s="35"/>
      <c r="AH4" s="35"/>
      <c r="AI4" s="35"/>
    </row>
    <row r="5" spans="1:35" ht="25" thickBot="1" x14ac:dyDescent="0.25">
      <c r="A5" s="41"/>
      <c r="B5" s="42"/>
      <c r="C5" s="42"/>
      <c r="D5" s="42"/>
      <c r="E5" s="43"/>
      <c r="F5" s="163" t="s">
        <v>11</v>
      </c>
      <c r="G5" s="164"/>
      <c r="H5" s="164"/>
      <c r="I5" s="164"/>
      <c r="J5" s="165"/>
      <c r="K5" s="153" t="s">
        <v>88</v>
      </c>
      <c r="L5" s="154"/>
      <c r="M5" s="155"/>
      <c r="N5" s="153" t="s">
        <v>13</v>
      </c>
      <c r="O5" s="154"/>
      <c r="P5" s="155"/>
      <c r="Q5" s="156" t="s">
        <v>14</v>
      </c>
      <c r="R5" s="157"/>
      <c r="S5" s="157"/>
      <c r="T5" s="68"/>
      <c r="U5" s="85"/>
      <c r="V5" s="85"/>
      <c r="W5" s="85"/>
      <c r="X5" s="85"/>
      <c r="Y5" s="85"/>
      <c r="Z5" s="42"/>
      <c r="AA5" s="43"/>
      <c r="AB5" s="35"/>
      <c r="AC5" s="35"/>
      <c r="AD5" s="35"/>
      <c r="AE5" s="35"/>
      <c r="AF5" s="35"/>
      <c r="AG5" s="35"/>
      <c r="AH5" s="35"/>
      <c r="AI5" s="35"/>
    </row>
    <row r="6" spans="1:35" s="47" customFormat="1" ht="125" x14ac:dyDescent="0.2">
      <c r="A6" s="2" t="s">
        <v>51</v>
      </c>
      <c r="B6" s="46" t="s">
        <v>52</v>
      </c>
      <c r="C6" s="44" t="s">
        <v>89</v>
      </c>
      <c r="D6" s="44" t="s">
        <v>90</v>
      </c>
      <c r="E6" s="45" t="s">
        <v>19</v>
      </c>
      <c r="F6" s="117" t="s">
        <v>91</v>
      </c>
      <c r="G6" s="118" t="s">
        <v>104</v>
      </c>
      <c r="H6" s="118" t="s">
        <v>105</v>
      </c>
      <c r="I6" s="118" t="s">
        <v>106</v>
      </c>
      <c r="J6" s="118" t="s">
        <v>107</v>
      </c>
      <c r="K6" s="114" t="s">
        <v>92</v>
      </c>
      <c r="L6" s="114" t="s">
        <v>93</v>
      </c>
      <c r="M6" s="114" t="s">
        <v>94</v>
      </c>
      <c r="N6" s="114" t="s">
        <v>95</v>
      </c>
      <c r="O6" s="114" t="s">
        <v>96</v>
      </c>
      <c r="P6" s="114" t="s">
        <v>97</v>
      </c>
      <c r="Q6" s="115" t="s">
        <v>38</v>
      </c>
      <c r="R6" s="115" t="s">
        <v>39</v>
      </c>
      <c r="S6" s="116" t="s">
        <v>40</v>
      </c>
      <c r="T6" s="46" t="s">
        <v>99</v>
      </c>
      <c r="U6" s="46" t="s">
        <v>100</v>
      </c>
      <c r="V6" s="46" t="s">
        <v>98</v>
      </c>
      <c r="W6" s="2" t="s">
        <v>108</v>
      </c>
    </row>
    <row r="7" spans="1:35" ht="17" x14ac:dyDescent="0.2">
      <c r="A7" s="168">
        <v>1887</v>
      </c>
      <c r="B7" s="175">
        <v>45647.560381944444</v>
      </c>
      <c r="C7" s="176" t="s">
        <v>151</v>
      </c>
      <c r="D7" s="177" t="s">
        <v>247</v>
      </c>
      <c r="E7" s="176" t="s">
        <v>248</v>
      </c>
      <c r="F7" s="178">
        <v>8</v>
      </c>
      <c r="G7" s="179"/>
      <c r="H7" s="179"/>
      <c r="I7" s="179"/>
      <c r="J7" s="179"/>
      <c r="K7" s="178"/>
      <c r="L7" s="178"/>
      <c r="M7" s="178"/>
      <c r="N7" s="178"/>
      <c r="O7" s="178"/>
      <c r="P7" s="178"/>
      <c r="Q7" s="178"/>
      <c r="R7" s="178"/>
      <c r="S7" s="178"/>
      <c r="T7" s="180">
        <v>8</v>
      </c>
      <c r="U7" s="180"/>
      <c r="V7" s="181" t="s">
        <v>73</v>
      </c>
      <c r="W7" s="182">
        <v>45647.51871527778</v>
      </c>
    </row>
    <row r="8" spans="1:35" ht="17" x14ac:dyDescent="0.2">
      <c r="A8" s="168">
        <v>1884</v>
      </c>
      <c r="B8" s="175">
        <v>45647.547060185185</v>
      </c>
      <c r="C8" s="176" t="s">
        <v>151</v>
      </c>
      <c r="D8" s="177" t="s">
        <v>241</v>
      </c>
      <c r="E8" s="176" t="s">
        <v>242</v>
      </c>
      <c r="F8" s="178">
        <v>6</v>
      </c>
      <c r="G8" s="179">
        <v>3</v>
      </c>
      <c r="H8" s="179"/>
      <c r="I8" s="179"/>
      <c r="J8" s="179"/>
      <c r="K8" s="178"/>
      <c r="L8" s="178"/>
      <c r="M8" s="178"/>
      <c r="N8" s="178"/>
      <c r="O8" s="178"/>
      <c r="P8" s="178"/>
      <c r="Q8" s="178">
        <v>1</v>
      </c>
      <c r="R8" s="178"/>
      <c r="S8" s="178"/>
      <c r="T8" s="180">
        <v>10</v>
      </c>
      <c r="U8" s="180"/>
      <c r="V8" s="181" t="s">
        <v>73</v>
      </c>
      <c r="W8" s="182">
        <v>45647.505393518521</v>
      </c>
    </row>
    <row r="9" spans="1:35" ht="17" x14ac:dyDescent="0.2">
      <c r="A9" s="168">
        <v>1883</v>
      </c>
      <c r="B9" s="175">
        <v>45647.526469907411</v>
      </c>
      <c r="C9" s="176" t="s">
        <v>151</v>
      </c>
      <c r="D9" s="177" t="s">
        <v>249</v>
      </c>
      <c r="E9" s="176" t="s">
        <v>250</v>
      </c>
      <c r="F9" s="178">
        <v>7</v>
      </c>
      <c r="G9" s="179">
        <v>3</v>
      </c>
      <c r="H9" s="179"/>
      <c r="I9" s="179"/>
      <c r="J9" s="179"/>
      <c r="K9" s="178"/>
      <c r="L9" s="178"/>
      <c r="M9" s="178"/>
      <c r="N9" s="178"/>
      <c r="O9" s="178"/>
      <c r="P9" s="178"/>
      <c r="Q9" s="178"/>
      <c r="R9" s="178">
        <v>1</v>
      </c>
      <c r="S9" s="178"/>
      <c r="T9" s="180">
        <v>11</v>
      </c>
      <c r="U9" s="180"/>
      <c r="V9" s="181" t="s">
        <v>73</v>
      </c>
      <c r="W9" s="182">
        <v>45647.484803240739</v>
      </c>
    </row>
    <row r="10" spans="1:35" ht="17" x14ac:dyDescent="0.2">
      <c r="A10" s="168">
        <v>1879</v>
      </c>
      <c r="B10" s="175">
        <v>45647.415462962963</v>
      </c>
      <c r="C10" s="176" t="s">
        <v>151</v>
      </c>
      <c r="D10" s="177" t="s">
        <v>244</v>
      </c>
      <c r="E10" s="176" t="s">
        <v>245</v>
      </c>
      <c r="F10" s="178">
        <v>7</v>
      </c>
      <c r="G10" s="179"/>
      <c r="H10" s="179"/>
      <c r="I10" s="179"/>
      <c r="J10" s="179"/>
      <c r="K10" s="178"/>
      <c r="L10" s="178"/>
      <c r="M10" s="178"/>
      <c r="N10" s="178"/>
      <c r="O10" s="178"/>
      <c r="P10" s="178"/>
      <c r="Q10" s="178">
        <v>2</v>
      </c>
      <c r="R10" s="178"/>
      <c r="S10" s="178"/>
      <c r="T10" s="180">
        <v>9</v>
      </c>
      <c r="U10" s="180"/>
      <c r="V10" s="181" t="s">
        <v>73</v>
      </c>
      <c r="W10" s="182">
        <v>45647.373796296299</v>
      </c>
    </row>
    <row r="11" spans="1:35" ht="17" x14ac:dyDescent="0.2">
      <c r="A11" s="168">
        <v>1878</v>
      </c>
      <c r="B11" s="175">
        <v>45646.827939814815</v>
      </c>
      <c r="C11" s="176" t="s">
        <v>151</v>
      </c>
      <c r="D11" s="177" t="s">
        <v>254</v>
      </c>
      <c r="E11" s="176" t="s">
        <v>255</v>
      </c>
      <c r="F11" s="178">
        <v>6</v>
      </c>
      <c r="G11" s="179"/>
      <c r="H11" s="179"/>
      <c r="I11" s="179"/>
      <c r="J11" s="179"/>
      <c r="K11" s="178"/>
      <c r="L11" s="178"/>
      <c r="M11" s="178"/>
      <c r="N11" s="178"/>
      <c r="O11" s="178"/>
      <c r="P11" s="178"/>
      <c r="Q11" s="178"/>
      <c r="R11" s="178"/>
      <c r="S11" s="178"/>
      <c r="T11" s="180">
        <v>6</v>
      </c>
      <c r="U11" s="180"/>
      <c r="V11" s="181" t="s">
        <v>73</v>
      </c>
      <c r="W11" s="182">
        <v>45646.786273148151</v>
      </c>
    </row>
    <row r="12" spans="1:35" ht="17" x14ac:dyDescent="0.2">
      <c r="A12" s="168">
        <v>1875</v>
      </c>
      <c r="B12" s="175">
        <v>45646.462129629632</v>
      </c>
      <c r="C12" s="176" t="s">
        <v>151</v>
      </c>
      <c r="D12" s="177" t="s">
        <v>234</v>
      </c>
      <c r="E12" s="176" t="s">
        <v>235</v>
      </c>
      <c r="F12" s="178">
        <v>16</v>
      </c>
      <c r="G12" s="179"/>
      <c r="H12" s="179"/>
      <c r="I12" s="179"/>
      <c r="J12" s="179"/>
      <c r="K12" s="178"/>
      <c r="L12" s="178"/>
      <c r="M12" s="178"/>
      <c r="N12" s="178"/>
      <c r="O12" s="178"/>
      <c r="P12" s="178"/>
      <c r="Q12" s="178"/>
      <c r="R12" s="178"/>
      <c r="S12" s="178"/>
      <c r="T12" s="180">
        <v>16</v>
      </c>
      <c r="U12" s="180"/>
      <c r="V12" s="181" t="s">
        <v>73</v>
      </c>
      <c r="W12" s="182">
        <v>45646.42046296296</v>
      </c>
    </row>
    <row r="13" spans="1:35" ht="34" x14ac:dyDescent="0.2">
      <c r="A13" s="168">
        <v>1871</v>
      </c>
      <c r="B13" s="175">
        <v>45645.464629629627</v>
      </c>
      <c r="C13" s="176" t="s">
        <v>151</v>
      </c>
      <c r="D13" s="177" t="s">
        <v>231</v>
      </c>
      <c r="E13" s="176" t="s">
        <v>232</v>
      </c>
      <c r="F13" s="178">
        <v>10</v>
      </c>
      <c r="G13" s="179"/>
      <c r="H13" s="179"/>
      <c r="I13" s="179"/>
      <c r="J13" s="179"/>
      <c r="K13" s="178"/>
      <c r="L13" s="178"/>
      <c r="M13" s="178"/>
      <c r="N13" s="178"/>
      <c r="O13" s="178"/>
      <c r="P13" s="178"/>
      <c r="Q13" s="178"/>
      <c r="R13" s="178"/>
      <c r="S13" s="178"/>
      <c r="T13" s="180">
        <v>10</v>
      </c>
      <c r="U13" s="180"/>
      <c r="V13" s="181" t="s">
        <v>239</v>
      </c>
      <c r="W13" s="182">
        <v>45645.422962962963</v>
      </c>
    </row>
    <row r="14" spans="1:35" ht="17" x14ac:dyDescent="0.2">
      <c r="A14" s="168">
        <v>1866</v>
      </c>
      <c r="B14" s="175">
        <v>45644.851886574077</v>
      </c>
      <c r="C14" s="176" t="s">
        <v>151</v>
      </c>
      <c r="D14" s="177" t="s">
        <v>228</v>
      </c>
      <c r="E14" s="176" t="s">
        <v>229</v>
      </c>
      <c r="F14" s="178">
        <v>6</v>
      </c>
      <c r="G14" s="179"/>
      <c r="H14" s="179"/>
      <c r="I14" s="179"/>
      <c r="J14" s="179"/>
      <c r="K14" s="178"/>
      <c r="L14" s="178"/>
      <c r="M14" s="178"/>
      <c r="N14" s="178"/>
      <c r="O14" s="178"/>
      <c r="P14" s="178"/>
      <c r="Q14" s="178"/>
      <c r="R14" s="178"/>
      <c r="S14" s="178"/>
      <c r="T14" s="180">
        <v>6</v>
      </c>
      <c r="U14" s="180"/>
      <c r="V14" s="181" t="s">
        <v>73</v>
      </c>
      <c r="W14" s="182">
        <v>45644.810219907406</v>
      </c>
    </row>
    <row r="15" spans="1:35" ht="34" x14ac:dyDescent="0.2">
      <c r="A15" s="168">
        <v>1861</v>
      </c>
      <c r="B15" s="175">
        <v>45644.479097222225</v>
      </c>
      <c r="C15" s="176" t="s">
        <v>151</v>
      </c>
      <c r="D15" s="177" t="s">
        <v>205</v>
      </c>
      <c r="E15" s="176" t="s">
        <v>206</v>
      </c>
      <c r="F15" s="178"/>
      <c r="G15" s="179">
        <v>7</v>
      </c>
      <c r="H15" s="179"/>
      <c r="I15" s="179"/>
      <c r="J15" s="179"/>
      <c r="K15" s="178"/>
      <c r="L15" s="178"/>
      <c r="M15" s="178"/>
      <c r="N15" s="178"/>
      <c r="O15" s="178"/>
      <c r="P15" s="178"/>
      <c r="Q15" s="178"/>
      <c r="R15" s="178"/>
      <c r="S15" s="178"/>
      <c r="T15" s="180">
        <v>7</v>
      </c>
      <c r="U15" s="180"/>
      <c r="V15" s="181" t="s">
        <v>222</v>
      </c>
      <c r="W15" s="182">
        <v>45644.534687500003</v>
      </c>
    </row>
    <row r="16" spans="1:35" ht="17" x14ac:dyDescent="0.2">
      <c r="A16" s="168">
        <v>1854</v>
      </c>
      <c r="B16" s="175">
        <v>45643.488506944443</v>
      </c>
      <c r="C16" s="176" t="s">
        <v>151</v>
      </c>
      <c r="D16" s="177" t="s">
        <v>207</v>
      </c>
      <c r="E16" s="176" t="s">
        <v>236</v>
      </c>
      <c r="F16" s="178">
        <v>7</v>
      </c>
      <c r="G16" s="179">
        <v>4</v>
      </c>
      <c r="H16" s="179"/>
      <c r="I16" s="179">
        <v>5</v>
      </c>
      <c r="J16" s="179"/>
      <c r="K16" s="178"/>
      <c r="L16" s="178"/>
      <c r="M16" s="178"/>
      <c r="N16" s="178"/>
      <c r="O16" s="178"/>
      <c r="P16" s="178"/>
      <c r="Q16" s="178"/>
      <c r="R16" s="178"/>
      <c r="S16" s="178"/>
      <c r="T16" s="180">
        <v>16</v>
      </c>
      <c r="U16" s="180">
        <v>5</v>
      </c>
      <c r="V16" s="181" t="s">
        <v>73</v>
      </c>
      <c r="W16" s="182">
        <v>45646.443449074075</v>
      </c>
    </row>
    <row r="17" spans="1:23" ht="17" x14ac:dyDescent="0.2">
      <c r="A17" s="168">
        <v>1851</v>
      </c>
      <c r="B17" s="175">
        <v>45642.834849537037</v>
      </c>
      <c r="C17" s="176" t="s">
        <v>151</v>
      </c>
      <c r="D17" s="177" t="s">
        <v>208</v>
      </c>
      <c r="E17" s="176" t="s">
        <v>209</v>
      </c>
      <c r="F17" s="178">
        <v>8</v>
      </c>
      <c r="G17" s="179">
        <v>10</v>
      </c>
      <c r="H17" s="179"/>
      <c r="I17" s="179">
        <v>4</v>
      </c>
      <c r="J17" s="179">
        <v>4</v>
      </c>
      <c r="K17" s="178"/>
      <c r="L17" s="178"/>
      <c r="M17" s="178"/>
      <c r="N17" s="178"/>
      <c r="O17" s="178"/>
      <c r="P17" s="178"/>
      <c r="Q17" s="178"/>
      <c r="R17" s="178"/>
      <c r="S17" s="178"/>
      <c r="T17" s="180">
        <v>26</v>
      </c>
      <c r="U17" s="180">
        <v>8</v>
      </c>
      <c r="V17" s="181" t="s">
        <v>73</v>
      </c>
      <c r="W17" s="182">
        <v>45642.793182870373</v>
      </c>
    </row>
    <row r="18" spans="1:23" ht="17" x14ac:dyDescent="0.2">
      <c r="A18" s="168">
        <v>1845</v>
      </c>
      <c r="B18" s="175">
        <v>45642.795995370368</v>
      </c>
      <c r="C18" s="176" t="s">
        <v>151</v>
      </c>
      <c r="D18" s="177" t="s">
        <v>210</v>
      </c>
      <c r="E18" s="176" t="s">
        <v>211</v>
      </c>
      <c r="F18" s="178">
        <v>5</v>
      </c>
      <c r="G18" s="179">
        <v>3</v>
      </c>
      <c r="H18" s="179"/>
      <c r="I18" s="179"/>
      <c r="J18" s="179"/>
      <c r="K18" s="178">
        <v>4</v>
      </c>
      <c r="L18" s="178"/>
      <c r="M18" s="178"/>
      <c r="N18" s="178"/>
      <c r="O18" s="178"/>
      <c r="P18" s="178"/>
      <c r="Q18" s="178">
        <v>3</v>
      </c>
      <c r="R18" s="178">
        <v>1</v>
      </c>
      <c r="S18" s="178"/>
      <c r="T18" s="180">
        <v>16</v>
      </c>
      <c r="U18" s="180"/>
      <c r="V18" s="181" t="s">
        <v>73</v>
      </c>
      <c r="W18" s="182">
        <v>45642.754328703704</v>
      </c>
    </row>
    <row r="19" spans="1:23" ht="17" x14ac:dyDescent="0.2">
      <c r="A19" s="168">
        <v>1836</v>
      </c>
      <c r="B19" s="175">
        <v>45641.51630787037</v>
      </c>
      <c r="C19" s="176" t="s">
        <v>151</v>
      </c>
      <c r="D19" s="177" t="s">
        <v>153</v>
      </c>
      <c r="E19" s="176" t="s">
        <v>154</v>
      </c>
      <c r="F19" s="178">
        <v>14</v>
      </c>
      <c r="G19" s="179"/>
      <c r="H19" s="179"/>
      <c r="I19" s="179"/>
      <c r="J19" s="179"/>
      <c r="K19" s="178">
        <v>6</v>
      </c>
      <c r="L19" s="178"/>
      <c r="M19" s="178"/>
      <c r="N19" s="178"/>
      <c r="O19" s="178"/>
      <c r="P19" s="178"/>
      <c r="Q19" s="178">
        <v>4</v>
      </c>
      <c r="R19" s="178"/>
      <c r="S19" s="178"/>
      <c r="T19" s="180">
        <v>24</v>
      </c>
      <c r="U19" s="180"/>
      <c r="V19" s="181" t="s">
        <v>73</v>
      </c>
      <c r="W19" s="182">
        <v>45641.474641203706</v>
      </c>
    </row>
    <row r="20" spans="1:23" ht="17" x14ac:dyDescent="0.2">
      <c r="A20" s="168">
        <v>1831</v>
      </c>
      <c r="B20" s="175">
        <v>45639.378553240742</v>
      </c>
      <c r="C20" s="176" t="s">
        <v>151</v>
      </c>
      <c r="D20" s="177" t="s">
        <v>172</v>
      </c>
      <c r="E20" s="176" t="s">
        <v>168</v>
      </c>
      <c r="F20" s="178">
        <v>10</v>
      </c>
      <c r="G20" s="179">
        <v>3</v>
      </c>
      <c r="H20" s="179"/>
      <c r="I20" s="179">
        <v>6</v>
      </c>
      <c r="J20" s="179"/>
      <c r="K20" s="178"/>
      <c r="L20" s="178"/>
      <c r="M20" s="178"/>
      <c r="N20" s="178"/>
      <c r="O20" s="178"/>
      <c r="P20" s="178"/>
      <c r="Q20" s="178"/>
      <c r="R20" s="178"/>
      <c r="S20" s="178"/>
      <c r="T20" s="180">
        <v>19</v>
      </c>
      <c r="U20" s="180">
        <v>6</v>
      </c>
      <c r="V20" s="181" t="s">
        <v>73</v>
      </c>
      <c r="W20" s="182">
        <v>45639.336886574078</v>
      </c>
    </row>
    <row r="21" spans="1:23" ht="17" x14ac:dyDescent="0.2">
      <c r="A21" s="168">
        <v>1827</v>
      </c>
      <c r="B21" s="175">
        <v>45637.593124999999</v>
      </c>
      <c r="C21" s="176" t="s">
        <v>151</v>
      </c>
      <c r="D21" s="177" t="s">
        <v>179</v>
      </c>
      <c r="E21" s="176" t="s">
        <v>166</v>
      </c>
      <c r="F21" s="178"/>
      <c r="G21" s="179"/>
      <c r="H21" s="179"/>
      <c r="I21" s="179">
        <v>6</v>
      </c>
      <c r="J21" s="179"/>
      <c r="K21" s="178"/>
      <c r="L21" s="178"/>
      <c r="M21" s="178"/>
      <c r="N21" s="178"/>
      <c r="O21" s="178"/>
      <c r="P21" s="178"/>
      <c r="Q21" s="178"/>
      <c r="R21" s="178">
        <v>1</v>
      </c>
      <c r="S21" s="178">
        <v>5</v>
      </c>
      <c r="T21" s="180">
        <v>12</v>
      </c>
      <c r="U21" s="180">
        <v>11</v>
      </c>
      <c r="V21" s="181" t="s">
        <v>73</v>
      </c>
      <c r="W21" s="182">
        <v>45637.551458333335</v>
      </c>
    </row>
    <row r="22" spans="1:23" ht="17" x14ac:dyDescent="0.2">
      <c r="A22" s="168">
        <v>1824</v>
      </c>
      <c r="B22" s="175">
        <v>45637.575682870367</v>
      </c>
      <c r="C22" s="176" t="s">
        <v>151</v>
      </c>
      <c r="D22" s="177" t="s">
        <v>181</v>
      </c>
      <c r="E22" s="176" t="s">
        <v>159</v>
      </c>
      <c r="F22" s="178">
        <v>7</v>
      </c>
      <c r="G22" s="179"/>
      <c r="H22" s="179"/>
      <c r="I22" s="179"/>
      <c r="J22" s="179"/>
      <c r="K22" s="178"/>
      <c r="L22" s="178"/>
      <c r="M22" s="178"/>
      <c r="N22" s="178"/>
      <c r="O22" s="178"/>
      <c r="P22" s="178"/>
      <c r="Q22" s="178">
        <v>1</v>
      </c>
      <c r="R22" s="178"/>
      <c r="S22" s="178"/>
      <c r="T22" s="180">
        <v>8</v>
      </c>
      <c r="U22" s="180"/>
      <c r="V22" s="181" t="s">
        <v>73</v>
      </c>
      <c r="W22" s="182">
        <v>45637.534016203703</v>
      </c>
    </row>
    <row r="23" spans="1:23" ht="17" x14ac:dyDescent="0.2">
      <c r="A23" s="168">
        <v>1820</v>
      </c>
      <c r="B23" s="175">
        <v>45635.779479166667</v>
      </c>
      <c r="C23" s="176" t="s">
        <v>151</v>
      </c>
      <c r="D23" s="177" t="s">
        <v>175</v>
      </c>
      <c r="E23" s="176" t="s">
        <v>164</v>
      </c>
      <c r="F23" s="178">
        <v>8</v>
      </c>
      <c r="G23" s="179"/>
      <c r="H23" s="179"/>
      <c r="I23" s="179"/>
      <c r="J23" s="179"/>
      <c r="K23" s="178"/>
      <c r="L23" s="178"/>
      <c r="M23" s="178"/>
      <c r="N23" s="178"/>
      <c r="O23" s="178"/>
      <c r="P23" s="178"/>
      <c r="Q23" s="178"/>
      <c r="R23" s="178"/>
      <c r="S23" s="178"/>
      <c r="T23" s="180">
        <v>8</v>
      </c>
      <c r="U23" s="180"/>
      <c r="V23" s="181" t="s">
        <v>73</v>
      </c>
      <c r="W23" s="182">
        <v>45635.737812500003</v>
      </c>
    </row>
    <row r="24" spans="1:23" ht="17" x14ac:dyDescent="0.2">
      <c r="A24" s="168">
        <v>1817</v>
      </c>
      <c r="B24" s="175">
        <v>45634.985729166663</v>
      </c>
      <c r="C24" s="176" t="s">
        <v>151</v>
      </c>
      <c r="D24" s="177" t="s">
        <v>182</v>
      </c>
      <c r="E24" s="176" t="s">
        <v>150</v>
      </c>
      <c r="F24" s="178">
        <v>3</v>
      </c>
      <c r="G24" s="179"/>
      <c r="H24" s="179"/>
      <c r="I24" s="179"/>
      <c r="J24" s="179"/>
      <c r="K24" s="178"/>
      <c r="L24" s="178"/>
      <c r="M24" s="178"/>
      <c r="N24" s="178"/>
      <c r="O24" s="178"/>
      <c r="P24" s="178"/>
      <c r="Q24" s="178"/>
      <c r="R24" s="178"/>
      <c r="S24" s="178"/>
      <c r="T24" s="180">
        <v>3</v>
      </c>
      <c r="U24" s="180"/>
      <c r="V24" s="181" t="s">
        <v>73</v>
      </c>
      <c r="W24" s="182">
        <v>45634.944062499999</v>
      </c>
    </row>
    <row r="25" spans="1:23" ht="17" x14ac:dyDescent="0.2">
      <c r="A25" s="168">
        <v>1811</v>
      </c>
      <c r="B25" s="175">
        <v>45630.538402777776</v>
      </c>
      <c r="C25" s="176" t="s">
        <v>151</v>
      </c>
      <c r="D25" s="177" t="s">
        <v>185</v>
      </c>
      <c r="E25" s="176" t="s">
        <v>133</v>
      </c>
      <c r="F25" s="178">
        <v>9</v>
      </c>
      <c r="G25" s="179">
        <v>3</v>
      </c>
      <c r="H25" s="179"/>
      <c r="I25" s="179">
        <v>3</v>
      </c>
      <c r="J25" s="179"/>
      <c r="K25" s="178"/>
      <c r="L25" s="178"/>
      <c r="M25" s="178"/>
      <c r="N25" s="178"/>
      <c r="O25" s="178"/>
      <c r="P25" s="178"/>
      <c r="Q25" s="178"/>
      <c r="R25" s="178"/>
      <c r="S25" s="178"/>
      <c r="T25" s="180">
        <v>15</v>
      </c>
      <c r="U25" s="180">
        <v>3</v>
      </c>
      <c r="V25" s="181" t="s">
        <v>73</v>
      </c>
      <c r="W25" s="182">
        <v>45631.710057870368</v>
      </c>
    </row>
    <row r="26" spans="1:23" x14ac:dyDescent="0.2">
      <c r="A26" t="s">
        <v>79</v>
      </c>
      <c r="B26" s="172"/>
      <c r="C26" s="172">
        <f>SUBTOTAL(103,GKVI[GKVI])</f>
        <v>19</v>
      </c>
      <c r="D26" s="172"/>
      <c r="E26" s="172"/>
      <c r="F26" s="173">
        <f>SUBTOTAL(109,GKVI[Korps klassiek senioren])</f>
        <v>137</v>
      </c>
      <c r="G26" s="173">
        <f>SUBTOTAL(109,GKVI[Korps 1 klassiek junioren])</f>
        <v>36</v>
      </c>
      <c r="H26" s="173">
        <f>SUBTOTAL(109,GKVI[Korps 2 klassiek junioren])</f>
        <v>0</v>
      </c>
      <c r="I26" s="173">
        <f>SUBTOTAL(109,GKVI[Korps 1 klassiek aspiranten])</f>
        <v>24</v>
      </c>
      <c r="J26" s="173">
        <f>SUBTOTAL(109,GKVI[Korps 2 klassiek aspiranten])</f>
        <v>4</v>
      </c>
      <c r="K26" s="173">
        <f>SUBTOTAL(109,GKVI[Korps acrob. senioren])</f>
        <v>10</v>
      </c>
      <c r="L26" s="173">
        <f>SUBTOTAL(109,GKVI[Korps acrob. junioren])</f>
        <v>0</v>
      </c>
      <c r="M26" s="173">
        <f>SUBTOTAL(109,GKVI[Korps acrob. aspiranten])</f>
        <v>0</v>
      </c>
      <c r="N26" s="173"/>
      <c r="O26" s="173">
        <f>SUBTOTAL(109,GKVI[Korps show junioren])</f>
        <v>0</v>
      </c>
      <c r="P26" s="173">
        <f>SUBTOTAL(109,GKVI[Korps show aspiranten])</f>
        <v>0</v>
      </c>
      <c r="Q26" s="173">
        <f>SUBTOTAL(109,GKVI[Senioren])</f>
        <v>11</v>
      </c>
      <c r="R26" s="173">
        <f>SUBTOTAL(109,GKVI[Junioren])</f>
        <v>3</v>
      </c>
      <c r="S26" s="173">
        <f>SUBTOTAL(109,GKVI[Aspiranten])</f>
        <v>5</v>
      </c>
      <c r="T26" s="173">
        <f>SUBTOTAL(109,GKVI[Aantal deelnemers])</f>
        <v>230</v>
      </c>
      <c r="U26" s="173">
        <f>SUBTOTAL(109,GKVI[Hiervan is aspirant])</f>
        <v>33</v>
      </c>
      <c r="V26" s="174"/>
      <c r="W26"/>
    </row>
  </sheetData>
  <mergeCells count="10">
    <mergeCell ref="K5:M5"/>
    <mergeCell ref="N5:P5"/>
    <mergeCell ref="Q5:S5"/>
    <mergeCell ref="A1:Y1"/>
    <mergeCell ref="A2:Y2"/>
    <mergeCell ref="K4:M4"/>
    <mergeCell ref="N4:P4"/>
    <mergeCell ref="Q4:S4"/>
    <mergeCell ref="F4:J4"/>
    <mergeCell ref="F5:J5"/>
  </mergeCells>
  <phoneticPr fontId="2" type="noConversion"/>
  <pageMargins left="0.25" right="0.25" top="0.75" bottom="0.75" header="0.3" footer="0.3"/>
  <pageSetup paperSize="9" scale="49"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C9992-0072-43F1-83E6-036A14549315}">
  <dimension ref="A1:K13"/>
  <sheetViews>
    <sheetView zoomScale="110" zoomScaleNormal="110" workbookViewId="0">
      <selection activeCell="C7" sqref="C7"/>
    </sheetView>
  </sheetViews>
  <sheetFormatPr baseColWidth="10" defaultColWidth="8.83203125" defaultRowHeight="15" x14ac:dyDescent="0.2"/>
  <cols>
    <col min="1" max="1" width="8.33203125" bestFit="1" customWidth="1"/>
    <col min="2" max="2" width="9.1640625" bestFit="1" customWidth="1"/>
    <col min="3" max="3" width="51.33203125" bestFit="1" customWidth="1"/>
    <col min="4" max="4" width="13.1640625" style="1" bestFit="1" customWidth="1"/>
    <col min="5" max="5" width="18.83203125" style="1" bestFit="1" customWidth="1"/>
    <col min="6" max="6" width="13" style="1" bestFit="1" customWidth="1"/>
    <col min="7" max="7" width="14.6640625" bestFit="1" customWidth="1"/>
    <col min="8" max="8" width="23.6640625" bestFit="1" customWidth="1"/>
    <col min="9" max="9" width="13.33203125" bestFit="1" customWidth="1"/>
    <col min="10" max="11" width="15" bestFit="1" customWidth="1"/>
  </cols>
  <sheetData>
    <row r="1" spans="1:11" ht="24" x14ac:dyDescent="0.3">
      <c r="C1" s="166" t="s">
        <v>146</v>
      </c>
      <c r="D1" s="166"/>
      <c r="E1" s="166"/>
      <c r="F1" s="166"/>
      <c r="G1" s="166"/>
    </row>
    <row r="2" spans="1:11" ht="16" x14ac:dyDescent="0.2">
      <c r="C2" s="167" t="s">
        <v>147</v>
      </c>
      <c r="D2" s="167"/>
      <c r="E2" s="167"/>
      <c r="F2" s="167"/>
      <c r="G2" s="167"/>
    </row>
    <row r="3" spans="1:11" ht="16" x14ac:dyDescent="0.2">
      <c r="C3" s="48"/>
      <c r="D3" s="48"/>
      <c r="E3" s="48"/>
      <c r="F3" s="48"/>
      <c r="G3" s="48"/>
    </row>
    <row r="4" spans="1:11" ht="17" x14ac:dyDescent="0.2">
      <c r="A4" s="49"/>
      <c r="B4" s="49" t="s">
        <v>101</v>
      </c>
      <c r="C4" s="49"/>
      <c r="D4" s="50" t="s">
        <v>194</v>
      </c>
      <c r="E4" s="50" t="s">
        <v>195</v>
      </c>
      <c r="F4" s="50" t="s">
        <v>195</v>
      </c>
      <c r="G4" s="50" t="s">
        <v>195</v>
      </c>
      <c r="H4" s="49"/>
      <c r="I4" s="49"/>
      <c r="J4" s="83"/>
      <c r="K4" s="83"/>
    </row>
    <row r="5" spans="1:11" x14ac:dyDescent="0.2">
      <c r="A5" s="2" t="s">
        <v>102</v>
      </c>
      <c r="B5" s="2" t="s">
        <v>90</v>
      </c>
      <c r="C5" s="2" t="s">
        <v>19</v>
      </c>
      <c r="D5" s="5" t="s">
        <v>38</v>
      </c>
      <c r="E5" s="5" t="s">
        <v>111</v>
      </c>
      <c r="F5" s="5" t="s">
        <v>39</v>
      </c>
      <c r="G5" s="5" t="s">
        <v>40</v>
      </c>
      <c r="H5" s="2" t="s">
        <v>103</v>
      </c>
      <c r="I5" s="2" t="s">
        <v>51</v>
      </c>
      <c r="J5" s="2" t="s">
        <v>52</v>
      </c>
      <c r="K5" s="2" t="s">
        <v>108</v>
      </c>
    </row>
    <row r="6" spans="1:11" x14ac:dyDescent="0.2">
      <c r="A6" s="15" t="s">
        <v>152</v>
      </c>
      <c r="B6" s="15" t="s">
        <v>244</v>
      </c>
      <c r="C6" s="15" t="s">
        <v>245</v>
      </c>
      <c r="D6" s="16">
        <v>3</v>
      </c>
      <c r="E6" s="86"/>
      <c r="F6" s="16"/>
      <c r="G6" s="16"/>
      <c r="H6" s="15" t="s">
        <v>73</v>
      </c>
      <c r="I6" s="15" t="s">
        <v>256</v>
      </c>
      <c r="J6" s="59">
        <v>45647.423356481479</v>
      </c>
      <c r="K6" s="87">
        <v>45647.381689814814</v>
      </c>
    </row>
    <row r="7" spans="1:11" x14ac:dyDescent="0.2">
      <c r="A7" s="15" t="s">
        <v>152</v>
      </c>
      <c r="B7" s="15" t="s">
        <v>231</v>
      </c>
      <c r="C7" s="15" t="s">
        <v>232</v>
      </c>
      <c r="D7" s="16">
        <v>5</v>
      </c>
      <c r="E7" s="86"/>
      <c r="F7" s="16"/>
      <c r="G7" s="16"/>
      <c r="H7" s="15" t="s">
        <v>73</v>
      </c>
      <c r="I7" s="15" t="s">
        <v>240</v>
      </c>
      <c r="J7" s="59">
        <v>45645.468182870369</v>
      </c>
      <c r="K7" s="87">
        <v>45645.426516203705</v>
      </c>
    </row>
    <row r="8" spans="1:11" x14ac:dyDescent="0.2">
      <c r="A8" s="15" t="s">
        <v>152</v>
      </c>
      <c r="B8" s="15" t="s">
        <v>228</v>
      </c>
      <c r="C8" s="15" t="s">
        <v>229</v>
      </c>
      <c r="D8" s="16">
        <v>5</v>
      </c>
      <c r="E8" s="86"/>
      <c r="F8" s="16"/>
      <c r="G8" s="16"/>
      <c r="H8" s="15" t="s">
        <v>73</v>
      </c>
      <c r="I8" s="15" t="s">
        <v>230</v>
      </c>
      <c r="J8" s="59">
        <v>45644.86383101852</v>
      </c>
      <c r="K8" s="87">
        <v>45644.822164351855</v>
      </c>
    </row>
    <row r="9" spans="1:11" x14ac:dyDescent="0.2">
      <c r="A9" s="15" t="s">
        <v>152</v>
      </c>
      <c r="B9" s="15" t="s">
        <v>186</v>
      </c>
      <c r="C9" s="15" t="s">
        <v>187</v>
      </c>
      <c r="D9" s="16">
        <v>5</v>
      </c>
      <c r="E9" s="86"/>
      <c r="F9" s="16"/>
      <c r="G9" s="16"/>
      <c r="H9" s="15" t="s">
        <v>73</v>
      </c>
      <c r="I9" s="15" t="s">
        <v>223</v>
      </c>
      <c r="J9" s="59">
        <v>45642.835046296299</v>
      </c>
      <c r="K9" s="87">
        <v>45642.793379629627</v>
      </c>
    </row>
    <row r="10" spans="1:11" x14ac:dyDescent="0.2">
      <c r="A10" s="15" t="s">
        <v>152</v>
      </c>
      <c r="B10" s="15" t="s">
        <v>200</v>
      </c>
      <c r="C10" s="15" t="s">
        <v>201</v>
      </c>
      <c r="D10" s="16">
        <v>6</v>
      </c>
      <c r="E10" s="86"/>
      <c r="F10" s="16"/>
      <c r="G10" s="16"/>
      <c r="H10" s="15" t="s">
        <v>73</v>
      </c>
      <c r="I10" s="15" t="s">
        <v>202</v>
      </c>
      <c r="J10" s="59">
        <v>45641.871018518519</v>
      </c>
      <c r="K10" s="87">
        <v>45641.829351851855</v>
      </c>
    </row>
    <row r="11" spans="1:11" x14ac:dyDescent="0.2">
      <c r="A11" s="15" t="s">
        <v>152</v>
      </c>
      <c r="B11" s="15" t="s">
        <v>153</v>
      </c>
      <c r="C11" s="15" t="s">
        <v>154</v>
      </c>
      <c r="D11" s="16">
        <v>5</v>
      </c>
      <c r="E11" s="86"/>
      <c r="F11" s="16"/>
      <c r="G11" s="16"/>
      <c r="H11" s="15" t="s">
        <v>73</v>
      </c>
      <c r="I11" s="15" t="s">
        <v>191</v>
      </c>
      <c r="J11" s="59">
        <v>45641.534641203703</v>
      </c>
      <c r="K11" s="87">
        <v>45641.492974537039</v>
      </c>
    </row>
    <row r="12" spans="1:11" x14ac:dyDescent="0.2">
      <c r="A12" s="15" t="s">
        <v>152</v>
      </c>
      <c r="B12" s="15" t="s">
        <v>172</v>
      </c>
      <c r="C12" s="15" t="s">
        <v>168</v>
      </c>
      <c r="D12" s="16">
        <v>11</v>
      </c>
      <c r="E12" s="86"/>
      <c r="F12" s="16"/>
      <c r="G12" s="16">
        <v>4</v>
      </c>
      <c r="H12" s="15" t="s">
        <v>73</v>
      </c>
      <c r="I12" s="15" t="s">
        <v>173</v>
      </c>
      <c r="J12" s="59">
        <v>45639.397199074076</v>
      </c>
      <c r="K12" s="87">
        <v>45639.355532407404</v>
      </c>
    </row>
    <row r="13" spans="1:11" x14ac:dyDescent="0.2">
      <c r="A13" s="15" t="s">
        <v>79</v>
      </c>
      <c r="B13" s="15"/>
      <c r="C13" s="15">
        <f>SUBTOTAL(103,Bielemantreffen_2[Naam vereniging])</f>
        <v>7</v>
      </c>
      <c r="D13" s="16">
        <f>SUBTOTAL(109,Bielemantreffen_2[Senioren])</f>
        <v>40</v>
      </c>
      <c r="E13" s="16">
        <f>SUBTOTAL(109,Bielemantreffen_2[Jong volwassene])</f>
        <v>0</v>
      </c>
      <c r="F13" s="16">
        <f>SUBTOTAL(109,Bielemantreffen_2[Junioren])</f>
        <v>0</v>
      </c>
      <c r="G13" s="16">
        <f>SUBTOTAL(109,Bielemantreffen_2[Aspiranten])</f>
        <v>4</v>
      </c>
      <c r="H13" s="15"/>
      <c r="I13" s="15"/>
      <c r="J13" s="15"/>
    </row>
  </sheetData>
  <mergeCells count="2">
    <mergeCell ref="C1:G1"/>
    <mergeCell ref="C2:G2"/>
  </mergeCells>
  <phoneticPr fontId="2"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65ad308b-2083-401f-bfeb-b2b7430ea54a">
      <UserInfo>
        <DisplayName>schietcommissie</DisplayName>
        <AccountId>29</AccountId>
        <AccountType/>
      </UserInfo>
      <UserInfo>
        <DisplayName>jurycollege</DisplayName>
        <AccountId>28</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28E49110E16CA4CAD6807469259A23F" ma:contentTypeVersion="6" ma:contentTypeDescription="Een nieuw document maken." ma:contentTypeScope="" ma:versionID="503606b4f41f0a73a81736a59bde342f">
  <xsd:schema xmlns:xsd="http://www.w3.org/2001/XMLSchema" xmlns:xs="http://www.w3.org/2001/XMLSchema" xmlns:p="http://schemas.microsoft.com/office/2006/metadata/properties" xmlns:ns2="16868e8d-a882-449e-81d4-1ad0b5292899" xmlns:ns3="65ad308b-2083-401f-bfeb-b2b7430ea54a" targetNamespace="http://schemas.microsoft.com/office/2006/metadata/properties" ma:root="true" ma:fieldsID="ed7dc1ef7960956dcd4775d5e4f1f8d4" ns2:_="" ns3:_="">
    <xsd:import namespace="16868e8d-a882-449e-81d4-1ad0b5292899"/>
    <xsd:import namespace="65ad308b-2083-401f-bfeb-b2b7430ea54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868e8d-a882-449e-81d4-1ad0b529289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5ad308b-2083-401f-bfeb-b2b7430ea54a"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s q m i d = " f a b a f f 3 d - 9 7 2 8 - 4 d 6 c - 9 3 3 c - 4 7 b a 3 6 5 c d 1 1 9 "   x m l n s = " h t t p : / / s c h e m a s . m i c r o s o f t . c o m / D a t a M a s h u p " > A A A A A J G + A A B Q S w M E F A A A C A g A W W 2 V W c E + X u i k A A A A 9 w A A A B I A A A B D b 2 5 m a W c v U G F j a 2 F n Z S 5 4 b W y F j 7 0 O g j A c x F + F d K d f L I S U O r i C M T E x r k 2 p 0 A h / D C 2 W d 3 P w k X w F M Y q 6 O d 7 d 7 5 K 7 + / U m V l P X R h c z O N t D j h i m K D K g + 8 p C n a P R H + M U r a T Y K n 1 S t Y l m G F w 2 O Z u j x v t z R k g I A Y c E 9 0 N N O K W M H M p i p x v T q d i C 8 w q 0 Q Z 9 W 9 b + F p N i / x k i O W Z J i R n m K q S C L K 0 o L X 4 L P g 5 / p j y n W Y + v H w U h o 4 0 0 h y C I F e Z + Q D 1 B L A w Q U A A A I C A B Z b Z V Z N q i e I u i 7 A A A / D Q Y A E w A A A E Z v c m 1 1 b G F z L 1 N l Y 3 R p b 2 4 x L m 3 s f e 9 u Y z e S 7 / c A 9 x 0 E 3 w + 3 A z i 2 y K P z b x a D w I k n n X a n 0 9 k 4 k w C 7 G A x k + 8 S t t i w 1 J N m Z T G M e a J 9 j X + y S 5 0 h H J O t X R R 6 5 s z s T 9 H y Y t H V I V h W r W C x W k V X r 5 n o z W y 5 G l 9 1 / 1 b 9 9 8 s n 6 z X T V 3 I x e n r 8 a / X E 0 b z a f j M z / v l i Z R n 8 c f b l + P D l f X j / c N 4 v N s 6 9 m 8 + b k y + V i Y / 5 Y P z s 6 / f O 6 W a 1 P N 2 + b q 6 t G n X 4 z u 1 p N V 7 + e f j l f P t x c b p a r 6 W 1 z + n r R n K 9 m j 8 1 n X z U 3 z W q 6 m T W P 0 8 X z Z m 7 + W D e X 1 2 8 e N h v z r 9 u Z + W H R L H Y / z N 6 a f 2 9 O v n 6 4 a l a b h / X p c / N x N Z 2 P P h u 9 + M G A / 2 V 2 d 9 f M Z 4 v b 0 x e L 9 f U b 0 / z R / N E s T v V Y 5 6 f X 6 8 f R V b P e T B d m z N O X K / P p Z m q / G g J t g x P T 4 O j T 4 9 F / n p s x 7 m c G n K H z 6 P j o e P T l c v 5 w v 1 i b P 0 u d H Y / + t L h e 3 p j e 5 u 8 i H 4 / V X z 4 9 b q f m / x 5 9 3 U w t A a P 7 Z j N 6 b F Z v l s v b m 9 H C k D l 9 O D K t f 5 h e m Y n 6 b r W 8 X 2 6 a b d t n d k I N 0 O 2 v Z / P 5 5 f V 0 P l 2 t / 7 h Z P T T 7 o X / 4 9 V 0 z u m 1 + m b 3 9 + + z 2 Z j / a D 6 v p Y v 3 z c n X f I W m b r Z / J m B y P 3 r 8 / e r H 4 e 7 O w V H z 2 4 t z 8 8 m K x K S Y n t v c / z O f t 1 5 v p 5 u H e f N x Y 2 O a P Z j O 7 7 7 6 f m z 9 G f 3 5 n f 7 u B D V 5 8 Z 5 C 9 W j 3 M 7 p o V H X 4 3 + b u u m + Z v m / b D 2 f y 2 u W + a x e f k y 4 8 G n 2 b + S 3 O z 3 h i + 3 v B N m s X o b j 5 d r 2 f N n d B k e r 1 a X h m x M 2 K S 1 m p 0 0 2 y m s / l a a L 1 + s / y F f n 7 1 8 H e D y k j E n L b h w X 0 x M 8 D u p w t 5 x L 7 V u l n M l q u k J g k w 3 z 5 E R 9 s 1 S R h t u n 4 3 M + K 7 E c f b N + J H f D V 9 a 0 A a D R G Z Z t R M G n V 1 1 7 Q 6 z e g C c W C j n 2 Y N J O O b h + s 3 G 7 N s m 2 b F f H w 3 W 2 + W y z n 9 + t K s n v W V W b j 0 0 9 d G h + E v D r z R 2 + b h 9 g b J q + H O 7 N a s w P X i 4 f 6 + X Z 9 + i 2 + n 0 3 u r N b b N y P c / f X Z v Z m x 6 s 2 r W 5 J t u R t L n l 8 v 7 z e h h N J 3 P z S p v t V P T s m D e 3 N p N Y P S 4 X K 5 G b 8 z P d 8 u F x X A 7 s c y K u V u u 3 q 1 H m 5 Y r R t c Z r T l q R / t 5 N v / v / y J 9 z p c W 3 G q 0 m E 7 X m x a I U Y s / 3 3 S D 2 N + X t y 0 2 h o T u N 6 O J P q f K 6 7 x p 5 o v p f d P N b w T P 8 5 m R H z t 4 S + 5 O / r r h b 5 u 3 D y v D q J u R l c j l y g r j j p a b p i V H l L q f m v l d M C Z t 1 P K y p f N 6 e W / W 0 4 1 Z S h T L H U n 3 7 b Q 6 U P m m j 1 u 1 x 7 e 4 2 i 7 h p O F 6 O h J b O 0 u T S l n f r p 0 U l j n P f n z 5 8 v J T Y / J 0 G g t + v / h 0 d L H T a J v T + 5 E q R 2 + n U 7 p m t m 3 P z P Q a g 6 S F 2 4 4 Y C I 9 t d m a a 7 Z V a O 6 j i B z 1 L G v Q s Q s f Z A D r O B i F 4 G Y F 8 O Q D y 5 R D I L y I 0 t 9 + 7 q U N T 9 m L A l L R t p a G G 4 X 0 m D 9 a j v d + Z Z 4 t W X 7 1 b L X 8 2 i 4 r t 9 o X R 2 X d m X Y 6 m X f / l u 9 v m t n l s 9 n s 8 7 f q j 0 b h G I 9 4 T T M / M T t L g T 1 t w / T K z j U a K H / u v S h j 9 r z p t f C 2 M n 0 n j T 9 L G z 4 T x c 2 n 8 I m 3 8 i T B + K Y 1 f p Y 2 f C + P X 0 v h q n A a g k B g s c l g l s r i U I I g 8 V o l M r i Q I I p d V I p t r C Y L I Z 5 X I 6 J Z f W J 9 t 9 U Z v g 6 f o j Q t J b + x G k o j q h c u e A M n i x s J 1 M U R 7 a C V C w M J F I E j 6 Q 2 c i B C x c B I K k Q X Q u Q s D C R S B I O k S X I g Q s X A S C p E W 0 y O k s k d O S G s l E T m e J n J b U S C Z y O k v k t K R G M p H T W S K n J T W S i Z z O E j n N q Z G 9 w e k c v V M U y Z m k S P Z j S Y S J + 9 Q E C 9 j Z E F U y E f e p C R Y w A k F S J R P Z F s E C R i B I q m Q i 7 l M T L G A E g q R K J u I + N c E C R i B I q m Q i c j p P 5 L S k S n K R 0 3 k i p y V V k o u c z h M 5 L a m S X O R 0 n s h p S Z X k I q f z R E 4 j V d K 3 2 D t Z + H P 6 z u W C 3 R e P 0 0 X g r i H t / q N V N q P N q r F e l O l 8 P X q 2 b / 0 p a f 7 j c t U N u / m l 2 X s 9 V k Z 1 y f 0 s m I f Z 5 m 5 5 3 + n E m + Y P c o d X / d A q t a G W G 7 5 s f U d t I G O 6 s c i M T k 5 O D C J m J p t 7 6 / I P e g d s a S d 0 t l h v V g / X m + Z h J Q N r W 9 / M V r N b 6 8 a K N 9 1 M 7 6 + W z c o 6 A A 0 r E j r s W M s K A G D s r u 0 w t v K 9 I F P 5 5 h 5 L U 5 p p q V m c n W 7 f K D N 5 Q B 4 r Y + 1 C P v L N n 3 3 x w j 2 g A J + f 6 3 t A f Q N f B 7 A t v r j 4 K Q L i 7 X J x O 3 p c z n + Z r s 0 4 D Y B k h 9 i d j k h j A v D F R Q z g A 0 8 T P Y d B E G c R E J 7 F R I A g K w 2 C O c S b 1 P Z 6 i j P p r 7 m 4 v x d g f 2 9 h P m + u z A i b p o 0 8 0 r N A I G x R a 6 8 Q b Y A C 2 A A U C 5 2 E h W Q R F q K d U A A 7 g W J B T y 0 I C 8 l q L G Q f F r A l K B a T J C w k y 7 I Q 7 Y 0 C 2 B s U C 3 q + Q l h I 1 m c h S m e Z J J 1 F E h a S h V q K 0 l k m S S c 9 C S I s J C u 2 F K W z T J L O K g k L y d I t R e k s k 6 S T e i c Q F p I 1 X I r S W S Z J 5 9 6 b K q s t Y D L v 8 R D l s 0 r T n o n q U 9 K f l S i h V Z K E q j Q F q i Q N W o k y W i X J q E p T o U r S o Z U o p V W S l K o 0 J a o k L V r J 8 Y I 0 O U 1 T o w r o U c m a S j A u b G f B 4 x y z z v a z I K 6 S G q 0 S C z p q Y 3 j W Z t T G q M U 1 U q M 1 Q r B A S 4 R i I a 2 Q W l w h N V o h B A u 0 Q C g W 0 v q o x f V R o / V B s E D L g 2 I h r Y 5 a X B 0 1 W h 0 E C 7 Q 4 K B Z i y C 0 S c 0 s S T 2 R k U D T E w N x Y j s y N k w Q U m R k U D z F 8 N 5 b j d + M k E U W G B s V D D P K N 5 S j f O E l I k a l B 8 R B D g W M 5 F j h O E l N o b A D 9 J R k b a i x L K g o P A 0 y o m E F M a D M n h i y L K o o i A 0 S 4 V s D e Y B G R Z R U F m w E i d B C I C G 3 m I C I L K 4 p J A 0 Q 4 d I H F w S I i S y s K X Q N E K D U Q E d Q M e F V S / B h P D m 4 r e X G g 8 H Y L N e 7 J a B v Z u 2 l 3 G 3 t r 8 b Z Z N j 8 b N J n x B t y 1 0 Z G 7 G N B s D 1 G G V j u D s h k T y T p F W 7 J g F I i y e 2 h z U h H 3 k / B o Q 4 t 9 U F x f a X l l o L g 7 R R u e C X i 0 q U w i t C U b S Y F o v Y t 2 h t Q 5 Q R s e I V i 0 U f g e o C 0 Z V S q T N T O K 3 1 O 0 O a 4 z a H O C R 4 0 w T n u C o L + H N R U h g D X f C G L N y R 0 1 2 V i s Z d W H w v E U a 1 7 8 E d Y g P I + w p o P u s Q Y x f A 9 r T l N h + y 4 N a 0 7 q q D n I Y i 1 v 9 C i o D 7 Y Z n i M Q b U 6 i g P H I 4 k 1 Z 4 e H N T 2 T M d u T x R r c D E N 6 S q S n f D l D o e g D A m 2 8 F 8 U 7 b J E X L F N w q 8 P B O 2 i S h Z S r g n b Z L i o a s f M 9 A o Y s G A G 9 e u 0 O 8 0 7 Z J 0 e 4 F k S r v T m j S N s k a t B h v H J e i e M N R D 7 u 9 1 f Z 7 4 u U t J c e 5 F A 5 0 n a W Y y m f p p v K g 2 2 B K D o o p H B U L U Y a m M o O y G R N q 3 U F X z B S I k 3 l o Q 8 E P 0 Y a m M o s 2 D o o N u r e m 5 I C X w h G v E G 1 o K v N o Q 1 U 3 6 D K c A j E w D 2 1 u H W J T m T S C a H O C R 0 1 l T n P J s S y F g 1 k h 1 r z 8 Q 6 w 5 u U u 3 l E F s y 7 s h D / V t i D W 3 w j D W O I w F b w K y W M u a D w e o Q q x 5 h k C s O Y F K t 5 R B v M r D m p / G m K X M Y 8 0 R m W 4 p y 1 E f B c M + d J f h W y G 0 Q Y w H b j W S p Q w i Q R 7 e n K J K s J R 5 v D n B G 2 A p y z E d B Y M 6 F G 9 e t U O 8 0 / Z I 0 V I G c R 4 P 7 6 Q 9 E l v K H N 4 a B n U A 3 o K l r O V 4 j Y b x G o o 3 r 3 E g 3 m m 7 p G Q p a x D A 8 f B O 2 i V Z m 5 b B O 2 2 b R F 7 0 z s S 9 X S 2 b d 8 3 C f G 2 m 9 + t j M / q 6 u b + a N 9 0 7 8 o f l / 1 s L h o G W Q z g a h H C c v q I a 0 5 I q 0 X K c R I N l 8 d N y d d M + Q 9 8 m 5 T D / v Z 9 O z X T a y 7 L 3 z f W b 6 c I m u d j d m a X P y F 8 v b p q V v Z U 6 o r D b l D H N a L l r Q l t 8 0 z Q / 2 5 f t 6 2 t j s 9 0 u V 3 L r H h a l I w R F W 0 i g a O s e F F 0 A I S j a Q g J F W / e g 6 D o J Q d E W E i j a u g d F 5 T 4 E R V t I o G j r H h R d i S E o 2 k I C R V v 3 o O i q C 0 H R F h I o 2 r o H R V d w C I q 2 k E A B 8 + e V 8 2 6 z T 4 K w H j 3 z z + z g 8 n f X k z + 0 7 w e T d J g c 6 t R o I 2 n h x g 7 t r 7 w H Z z 0 u 6 D g e t D W E 7 C d s 9 O z e Z s g w R I 7 u m o e / m 4 m 5 X 9 4 2 8 9 n b O 3 T 7 v y d K t F k 0 C p t S o s C x n i M K H N Y P J M o g J x w 0 N I i z e o Q B o 4 Y S B g 7 + H G H g O H 8 w Y S B U u i d M j l l q F L O k h A H X A E c Y O P A f T p h k z s l R T Y 2 i m p Q w E G f j C E P X 9 Q 4 m T D i p a z n u q V H c k x I G 7 j d x h I F L T o c T J h w w t R w Z 1 S g y S g k D F 6 Y 4 w s C t q Y M J A y F W h z B Z 1 a P Y K S U M 3 M D i C A P X s A 4 n T H B 1 a T m 8 q l F 4 l R I G r n R x h I F 7 X Y c T J h 0 S 5 A i s R h F Y s D m D O 2 L s 7 o z e h B 9 K G g j m 7 k m T w 7 Q a h W k B a d x a R K R F 2 w 6 g T D o I y 6 F c j U K 5 g D J u w 0 O U R d s O o E y y P u R g r 0 b B X k A Z x 1 l E W b R t O m U g a u w k 5 5 D N D x Q O B p R x C h R R F m 0 7 g D L J / p A D x h o F j A F l X C t E W b T t A M o k A 0 Q O K W s U U g a U c a s R U R Z t O 4 A y y Q K R g 8 4 a B Z 0 B Z d y u h y i L t k 2 n D E S v H c p k E w S F i A F l H G c R Z d G 2 A y i T b B A Q K v Y o S 7 J B 2 P M b o i z a d g B l k h E i P 5 b U K D A M D t N c K 3 S a j r Z N p w y E n J 2 E S b I N g m L H g L I B N k i 8 7 Q D K J B t E f k 6 p U X g Z U D b A B o m 3 H U C Z Z I O A u L V H W Z I N g q 4 r s 5 R 9 Q B s E R L f 3 l M m P L T U K U w P K B t g g 8 b Y D K J N s E B D / 9 i h L s k F Y T w m i 7 A P a I C B K 7 l A m 2 y A o 3 A 0 o G 2 C D x N s O o E y y Q U A c 3 a U M R c Q B Z Q N s k H j b d M p A r N 2 h T L Z B U M w c U D b A B o m 3 H U C Z Z I O A W L x H W Z I N g h 4 X s J R 9 Q B s E x O s d y k Q b J E N x d + D 3 H m C D x N s m U 5 a B i L 6 T p h 1 / 2 2 a F J x 9 3 m d / J h z 5 b v A S r S 1 k + W s y a z W j 5 Y N A d 3 R g q t n m P T + g U R / J O b 7 / P 9 w D W u 8 o d c u M t d f H W b 7 b k x l v e 7 e g X m j 7 7 5 r n h 4 D Z Q t s 3 e 3 p L m k h C / L N u O I r w q Y w a m I + 3 z H o J b H Z 5 8 C 7 t r J l + 8 y M D F C 6 e v q D E y c M G h o / 5 m t w r 2 x I o X b T N w F 8 I D J G x F G b g L 4 f a V b i 9 l w D f m 9 Q X G H U u g m I A a O H Q 8 Q B I X g G P B 6 y v Y w 5 k c E c z Q K Z E l U J I y c C j z M r N K T A C H A 6 + v C F e e V 2 T p s f Q J J 6 Y M G F Y e H I k H Y I P 3 + k r C L U e b M h R t Y u m j c / H D c j O 1 T w E 6 H d X 2 a b P K U U n + y e w A 9 j K Q q x 1 H z 9 p M 9 n m 7 P Y A b C K / a K 0 Q P / a U i 2 / 9 u u r D 1 j O 6 m R g c v 7 p b v R s u f R 1 c P t q 7 T 1 c M d r A d i t K T R u u 8 M C J v 1 r F m c m h 5 3 y 2 a z b g u E 0 F x u P y z N x m q m y N Z 5 W r 4 z 1 N y 1 R Z 5 I u / P Z + n o + n a E C J 2 b P 2 F 2 A u j G c G D 3 r a x V 9 9 u I c E G p r N H 3 2 5 + + / o b j Y 6 k t T e y O k K 6 P k f / 2 i M V N p q 4 O 8 W Z q d o Z m / a W b 0 z Y J t N J 3 f s K W W + k H W G 9 O G z q D Z i O x s I P i 2 D t f I l r i i F T + e L 5 s b Y 6 m s v I E D q k m n 7 8 6 / + s O o L x x l C 4 N R 4 e x K a m w 3 5 a 5 G y A x v x l 7 B j H 3 L E b u b R H q g S x h e / Y x U G E I P D O M s m e I z h D 9 u i b D w W / 6 j L w 7 2 c j l f 3 t u F 9 N i s f r H Z A 1 d O h b D v m / v l Y 7 O t Y f a M V B I 7 f u 9 V 3 c K F t n B t L b a c V r S C F i 2 a x d T J i p T G Y q t h 4 Q J Y c s 0 r X O Z K r m z F F b O K 1 a / i S 1 b F q 1 S J h a m 8 W l R h + S l S c c o v M u X V l c K l p I L a T 7 T c 0 8 F V l j 5 w q S S u 8 J F c 6 w i W N 4 p V N I o W M e L r E Y E y N p H S N N F y M 8 k l Z H o j x P 5 7 b 3 M 4 Q w S 3 q N 0 + b U U X z 7 v A 9 t N e v y z o N 2 H 7 Z V 6 / P O h X s P 0 m X r 8 y 6 F e x / X K v X x 3 0 a w 8 h f F 0 U N 2 N I 2 J O f m t L v G c 6 N 4 i e n 8 n u G s 6 P 4 6 a n 9 n u H 8 K H 6 C 9 l N w k Z C L x X 2 K E c q K O 5 A k Z J p I m W Z 7 + m K m w 7 n U E 7 a n L 2 g 6 n E t d s D 1 9 U d P h X O q K 7 e k L m w 5 n K O N n y J e 2 L J y h j J 8 h X 9 q y c I Y y f o Z 8 a c v C G c r 4 G f K l L Q t n K O N n a C 9 t a U + a H S j h b E 7 c o S R 5 m 4 S z O d F s T 1 / e J k S v T d i e v r x N w t m c F G x P X 9 4 m 4 W x O K r a n L 2 + T c I Z y f o Z 8 e c v D G c r 5 G f L l L Q 9 n K O d n y J e 3 P J y h n J 8 h X 9 7 y c I Z y f o Y 6 e W u t B i E 9 v p w R P y U J f i R p u 5 C n P Z 6 a P c z g G c n G H m b f S s u s H i Y j i K R H D 1 9 k R V O d b 4 l I t 1 + 6 Z O O e c T D e j 0 M e K o S T B P R A E U p 5 o Z k B N T e g r x 6 K U P i L C T N g x g 3 o a 4 2 C 2 E M F M + C E G 9 B X J k W 4 V I q K G T D n B v R 1 T B E y p e S Y U n A D + q q n D J l S c k w p u Q F 9 j V S G T C k 5 p l T c g L 6 i K k O m l B x T a m 5 A X 3 + V I V N K j i l q z I 3 Y f d k P G b K l Y t c K v 1 j 8 1 V K F j K k 4 x i h 2 u S h / v V Q h a y q O N Y p d M M p f M V X I n I p j j m K X j P L X T E U O F y x 7 2 E W z + z I k o 7 K D Q c j N e r w f D m k + n N v Y O f a E v K w 1 M 6 D m B v Q 5 W Y e c r C f M g B k 3 o M / H O u R j X T A D T r g B f S 7 W I R f r i h k w 5 w Y M j o 7 0 7 M h x p e B G D M 6 U Y 3 K o H H N 8 K b k h g 8 P m m J w 2 x x x n K m 7 I 4 B Q 6 J s f Q M c e b m h s y O J 6 O y f l 0 z H F H j b k x A x X Y J b z 1 B l X s s u H X T e A P o e d + x b F I s W s n U I O K u g Q U x y T F r p 9 A E S r q L V A c m x S 7 h g J V q K g j Q b G M Y t d R r y Y H O h i I h 0 H p 8 X 4 k a A E y 2 b f 2 X 0 X n F 3 F M K K 0 Z g F o G u M 2 d C o E G w t C 5 M D y g O Q M 0 i w I t O K C B s B C n h t I V A 3 Q S B V p z Q A N h 6 t w f L t B M M U D z G N B M c 0 D z A C h Z a 9 m E A V p E g e Y c 0 E C x d 6 4 T D 2 j J A C 2 j Q C s O a O h n J M t l w i 2 X K g Z 0 o j i g w e b Q u V I 8 o B k D t I 4 C n X B A g + 2 D O F f U p G C A q n E U a s l B D T e Y z h H j g a 0 5 s B G F t E 1 3 i c E G W o k 4 Z 1 T O a S U V V U s 5 q 5 b C T S o n e i n n 9 J K K K q a c V U z h N k a c O y r n N J O K q q a c V U 3 h R l c Q 3 V R w u k l F l V P B K q e + 7 1 D v p y K + B t U 7 G 1 C y R S H B z v 6 r u B k S X 4 T q n R E o V a K Y + a k o O a C B 0 B V k i R U 1 A z S L A e 0 9 E x F X r S I u C F V q B u g k C j T j g A Y C V 5 L l V e Y M 0 D w K t O C A B p s h 8 T y o 3 v W A c g T K Q G s O a L A Z V m R p V Y o B W s a A V p o D G m y G x N W g K m 6 5 V F G g O Q c 0 2 A w r s u 1 X J Q O 0 j g K t O K D B Z k i c B a o e M 0 D V O A a 1 V h z U c D O s y c Z f Z x z Y i E L a Z r T D Y A O t R P w E q u a 0 k o q q p Z p V S + F m W B O 9 V H N 6 S c U U k x 6 z i i n Y D D V x E O g x p 5 l U T D V 1 6 e A w 2 C D i O Q 5 1 U 5 f n D Y K N K S c 9 Z p W T C s K l x C v Q 5 V p z W 5 C Y c y C W m p z X 9 V Y M 0 h M y u a O R e P N 2 m n G y J D k / 0 h M y I r k o k U D 2 9 p i P U x 3 J 2 Y 2 e m M / I R S t c I F 3 W I i 5 R k Z y b 6 I n Z i B y 0 w F U D z a A 1 E d F C X w f m E n L R I g t s e + b H S Y L k v E B P z A T k o k U W 4 N Y r g F P 8 y F l 9 n p j H x 7 3 0 E R o Q O l M M W q W I F v o 6 M A u P i x Z R D h m n H C o R L f R 1 Y A 4 d F 6 3 Q C N F Z y a B V i 2 i h r w M z 4 L h o E d W 9 9 U 4 w q W 0 i 2 W y e m L / G Q Y x 4 M P Q k 4 x C L K P m n a P l t + h k X M a L p J 5 y m V 7 K q h 5 8 H Z o 9 x E S O 6 f s L p e i U r e / h 5 Y P I X 9 4 4 X 0 f Y 5 p + 2 V r O 7 h 5 4 G 5 W 1 z E i L 7 P O X 2 v Z I U P P w 9 M v e I i R j R + z m l 8 J a t 8 + H l g 5 h Q H M e K P 0 Q W n 8 5 W s 9 O H n g Y l P X M S I 1 i 9 Y k 1 B W + / D z w L w l L m J E 7 x e c 3 l e y 4 o e f B 6 Y d c R E j m r / k N L + W N T / 8 P D B r i H u x k 2 j + k t P 8 W t b 8 8 P P A p B 8 u Y k T z l 6 y N H z H y n 6 b 5 y 0 D z l 0 T z l 5 z m 1 7 L m h 5 8 H p t x w E C O X V X T F a X 4 t a 3 7 4 e W D G D B c x o v k r T v N r W f P D z w M T X r i I 0 W v N n O b X s u a H n w f m q 3 A v T R P N X 3 O a X 8 u a H 3 4 e m G 7 C R Y x o / p r T / F r W / P D z w G w R L m J E 8 9 e c 5 t e y 5 o e f B y Z 7 c B G j F + A 5 z Z / J m h 9 + H p i r 4 d B E A c 4 V 9 H G 4 Y 3 R v + N 0 W 4 X r v X u q 7 L U J u d e / x I 0 / w 3 Q F C J d y 9 s 3 d f D 4 R L K A v c q N 0 D e r 9 F J i M R v P d R h M 7 A m 9 c 9 f / d b B E 8 V i M 8 o 2 1 o e 4 l N 2 Z w B N 6 N Q B n Z r Q q c M x C C F b R S u + N 3 c H I H T q g E 5 N 6 A w 8 H B n x c G S Z k p F o c f T e Q s e f P 7 s P n s k b Z + 5 Z c / C S G T x c 9 t 8 q + 8 + T 8 Y t k + w Y Z P z s + e v H d q E e 7 n Y H u 5 b H / k q 5 9 M M y / p H P f E + + z n P S P g I U n d u 4 r Y b 8 n f c 7 3 U n 7 O 9 1 J 4 z r d / 4 v v j c n 5 r 3 z 1 2 j + x 3 7 3 3 3 z 3 i d 5 7 6 2 2 W r / 3 h c 9 D j 6 2 C W P M Z N 5 M b 1 v 5 M s p w M b u 1 U 7 9 4 u N 9 K y b f W 8 / 7 Y f 7 E / v V z e 2 / f + 0 / m 8 f a N p H 3 q 2 T 1 P n z e 3 U V k V 4 t N J k d e L d c m E H c x 4 6 d u 9 4 O 5 H c v d y 0 z z b b Q i v N z 7 P 5 f / 9 X K 6 i B B I f D / N T M 7 4 L H o Z 9 v p / G S T v y l P P G X 6 e 8 o d z 9 c h D + c h T 9 c S r l h 1 v S d Z 1 J 5 8 h 2 o x B K N + 2 n c v z 3 x f t 4 9 G t n z e b o I 3 u r a T / / R g h h t V k 3 7 S m O + J o 9 Z f l y u u s 4 b s y X 2 T 2 p X B k f S 1 A 7 2 M N v c t R k f Z p b r f y B t X v U D K O G b J t 9 e t n J 1 1 R j F M d 1 Y K K O T k x M n 3 w V + h L M j 2 p 0 N Q L L 3 w k Y i 2 G s I y f V a e M Q y X 3 T w J U 4 o e A 8 U P K X p P v A X z r c d L 8 g d z O 0 H d C N l D y x R + F v 4 g u x z K C U u l y E F T d 3 3 2 8 7 D + v V 2 q 0 y u E 3 V I l a W g s B K s p R Q t n + R X T I J F k q J 1 k f x S S L D 6 U b T g k V / j C J Y 1 i l Y y 8 o s X w X p F 0 R J F f l U i W I g o W n v I L z c E K w x F i w r 5 d Y R g 6 a B o t a D t U S a x z E + Q W C 7 M J e e m j / M y x g 1 K E k f z w j 0 l J 5 q U o y g t K 9 F h e Y j S U g 8 J 2 Y a O e p N 0 a 8 9 2 f / f 2 7 7 l h 6 O j P 7 2 w y n x v H k P t 2 2 t p i U S v O K q S 9 E R c z / 4 7 f v 3 + K d X a + a 3 T k Z J X 5 q Z 0 X a w I + T l u a H e z e z a f X z Y / T + U P z L E L S 8 d H F 1 P z f 3 4 6 O t 7 1 W u + 4 / N H / b G E P U g c 2 C V i x s g u T x 0 b e W c 0 e D 4 E k U K J 4 r F E 3 L h 0 R T 1 2 1 2 N X t L m g i c 0 A e x Q s V 5 E c W J R S l L 5 p C O s y g d D Y l e n c 6 4 r G V c 7 P D R f j + B X w V m T Q 5 i l k 5 Z O D w 6 L D Z 5 M p 8 m K U v p A A y K Z A x y O w d 2 b P P f 4 + 0 / Q k z a v g Y V e D A M M m S N 1 u / m s 1 a 5 m / 3 A G m I z q 7 2 N r X f n K r d L 2 6 g T F Y B T I Z x C 2 5 7 G c u y G s H P 0 x a 9 G 2 8 z u Z + b H Z 5 a I 0 b 8 / L D f N 5 e Z X A + f L 9 e O n b e Y 9 M N i J 4 s C c a I c q P 5 W X o 6 h a n 8 3 P 5 q j S 0 W H b 9 a 4 A c R b s M m A R 8 l O 9 M d i 5 z d L W a c a v 0 5 B A E T 2 b O e u k d w G M b M Y o + 9 + d A p H W a H n Q G j V a 4 2 j v c Z D U a g S x p G m a p K u z k p 8 o 3 U 9 U u 6 A G z V J 1 0 C x N n F U c m S I O J R a j O l m X G F t 6 f L x 4 m M 9 Z D S K k L k x J V p i S n j A l I W F K C k I p 6 a C U Z p B P L J g m g n m 6 C N a t C E p z 2 r k y e q d A a l L I o 9 6 h t / s t N T l k 2 F M f p S a J P H K 8 h A R q j F e k 7 x 4 u y 8 M z J 2 0 i m S G W u 2 6 v 3 h s S S y j p 9 X L 8 I p L 5 y Z v j s v R E T Z r Q j S v g w N v A A N 2 o J c M D F i 3 q A W c D G 2 B 6 T w F Z v 8 C b 5 S 8 O l w W a e S M 7 g m X S x H P O c g E h 3 r Y F u C c x I Y 6 E S O o A m 9 / G 8 9 7 L Q H f M 2 S 8 m Y S 5 4 y z q C c R J z U m J E B K V 0 U 9 u G M l P Y k 4 K G S K 5 g 7 A H 0 d w w S A z U t i 1 z N 1 W m 8 I H p z u U 8 k d T N 7 P N m 3 8 k I 6 F w 9 M K y / O c + a + x O z a C V w 4 z L i 0 Y f a o x f L P E G 5 K Z P w A 8 1 W X W 8 Y P I M + w 9 8 Q y w / l s g S w 8 P q c R b 2 Q g M t S A 2 I I R F W E w G H g 1 P 5 4 s V l 0 D J p D 3 9 f 4 v v 5 k b y u r / L Q n n Y T a 9 m s S 1 1 t c e x n t k e F z S r X l 7 U S K m r g b D z 8 b p 8 O v o 4 k y P H A k Y p f s 9 7 c W Q m L r 4 G A z 8 Q L p s w D k o 6 5 w W 7 N x f + t Z 9 h B M X w U / b T g x 7 L v w z A M + s s 3 D z H M C 8 1 / R X h 5 R B T H 3 N f n T o T O P 5 a / q r M w m p y v s 1 l B F h v R 7 o m E 8 4 G X E x a g G Z d J d 8 l u C T j y M g k l g M W D K B N 5 5 G 5 V 8 F K C R f k / L 4 E 9 y T i q B P r 0 z Z T f o Y 3 p P a h 5 g S 4 j x y Y C H u 1 o z 4 8 6 i n B f l Q k H c E + z 2 w R 4 P z W X B e C d 7 v Q A 7 E 5 B A G T H 5 g 3 w N j H l r u k u 0 o G Y O S b e d b a K 7 1 M f R K i e s n C J W / q + F 9 J Y 7 V s q h h s c 7 k d C B d g x / v H v z T 3 j 0 4 / n j H 7 / d 8 x + / j r b P f 7 a 0 z u c B m r K S m V E R T L J v 5 r 3 H b T b B 8 e b d 0 1 D 6 M G u K / / S 4 n E J Z + e y N L u L 7 x v 0 p K u m / a 5 q 1 I c 7 Z 8 C K s g 8 T x T D j j P b P 3 Y T 7 B T X u N W 3 z w X T 6 M H O p 7 L h H t i v 5 X V I 1 D D e y o B 4 f E r Z r 8 9 B f 3 D m 7 W d b c O + Z e N e 8 f x y e X 8 1 W 0 h y U 9 l D Z 7 B V v x a 2 z 9 f C l v Z a 2 G Y c x f 2 P 4 y 1 a q x 1 + s W t M 3 y 4 X z a f H u z F s x T R 5 A p Q w A 3 j G z C R A A w V a H N C E g D Y B 3 O T h r g 2 3 Q 7 q / H T x 3 3 V D r y M T p o R N n P Y 9 x K y 5 q o k X t r 6 h x F b W c o m Z R 1 P a Q D Y u D O U O H P e I V F B + + Y P h p Y J r / S V r K W V W 9 y K 0 x v a k b V z V g 4 9 p e 4 h n 0 A u F M M t m E W 7 J 8 8 C V C T q J t E L E h R S B 1 + p z Z X F X 2 7 t 0 B h 7 J X 5 O e j w 8 s s H 7 2 0 L U b N 5 n o b x E 5 z O X y H P h 7 t i i a n + 6 2 e J 4 S 9 B G E 4 0 I + e H J X 7 n z 1 R J b u n l e C e B n P 0 u 3 J J f 3 Q f p 7 m P E 1 b W 8 b + 0 3 z i y R M N T a m z J u q d Y a f l 6 J 1 z R O / J E f z V / l j v + E A 5 p R + + z + v z 4 o 2 / 5 o 2 8 5 x b c M T J L 9 e T H J K o 1 Z h P 3 W + P 3 s b b s V r m 2 m n 8 Y t Y H 9 p f o m 7 7 r p 7 F r 6 s v r Z b 6 M l 5 s 7 7 u B F o y O f i r N g S z m J E x W J q G c K U j o S d g t k 5 4 o A m I P R 6 N j 0 c t F S N M x u j 9 w X u i g O I o e q P J I 8 g M 3 5 6 Q 2 k Q w 8 I w 0 O v S Q 5 D 8 t c g x O 5 u 0 U J q Z 9 7 y m a O u 5 r q E 9 m C w b 6 v 3 3 y y f r N 1 C i N 0 c v z b w w q 8 2 b T t r S J e M y f X 6 4 f T 8 6 X 1 w / 3 t i b s V 7 P W B b B o N 9 F n R 6 c 2 j 8 7 6 d P O 2 u b p q 1 O k 3 s 6 v V d P X r 6 Z d z s y F d b p a r 6 W 1 z + n r R n K 9 m j 8 1 n X x m 1 t L J m o K H g e W P P C + v m c r e 5 3 c 7 M D 4 t m s f v B y v 3 l 5 u T r h 6 t m t X l Y n z 4 3 H 1 d m J X 8 2 e v G D A f / L 7 O 6 u s R l + T l 8 s j I Y w z R / b P e R U j 3 V + e r 1 + 7 C T a c G d x u r N T 7 T / P v 7 E N T k w D c 5 g e / W d / C D d 0 t s f w r c 1 r / i x 1 d j z 6 0 + J 6 2 S b + + e O o y M d j 9 Z e e h V 8 3 U 0 t A + 9 T Z M M U s q n Y v f m y m D 3 t 2 f r d a 3 p t j / b b t M z u h B u j 2 1 7 P 5 / P J 6 O j e c + u N m 9 d D 8 h Z G O q H B I m B g R f R / u q S 8 W m 2 J y Y n u 3 R y t f a 7 U S Y 7 f X z e y + + x 5 s u b R B k A w p G N 4 5 J P h P + M 7 m 5 l j a N I v P y Z c f 2 y c i T o 1 e r o m 9 A z I 3 t u D 2 E M s 0 m e 6 N 9 b R W R v l t p r P 5 W m i 9 N k Y 8 / d x t f S M R c 9 q G B / f F t l y x P G L f a m c 0 J z R J g L m z p x O a J I y 2 t 8 O T G v E j v u q z 7 c n T j J p J o z o H A 3 H g y + 1 J l H 5 x T H P m 4 / a I Q L / 2 9 j / 9 t D t C i P A 6 e x z J K 7 3 i 7 b e g p 3 X / + 5 9 s r e / 5 9 G b V r M k 3 Y x d I n w 9 P C Y F W T C y l g d / n f N m 0 H r D F d L r e B I e D 9 v f l b Y v N z r S x L q j P q f K K P M o P Y M 5 s V X Y z e O O a m d 3 w t 4 3 d n Y 2 l M L I S u W y P R T t a b t p b h m t R 6 p h H 3 4 C X L Z 3 X x j 4 1 c j N t s 9 s F W P Y 3 G 7 d 2 e g + V b / q 4 V X t 8 C 1 B Y X Y C 8 o y O x d X B m Z 9 q 1 k 8 I y h 2 b o o 9 / 5 l 1 i w L T l d B 8 I T y + R H B 0 V p / e i g Z x E 6 h I x / t O 0 g B C 8 j k I W 3 b L T t E M g v I j T 7 z 6 3 I l L 0 Y M C X + m y w w 1 D C 8 z + T B 6 L 1 8 m t k V d 0 u 6 I B 9 0 3 a X y p L Z Y n 9 O T m 9 x + m X U 1 k f i x / 0 q T N b g 5 f 9 P G 1 8 L 4 m T T + J G 3 8 T B g / l 8 Y v 0 s a f C O O X 0 v h V 2 v i 5 M H 4 t j d / m 3 E 0 A U E g M F j m s E l l c S h B E H q t E J l c S B J H L K p H N t Q R B 5 L N K Z H T L L 6 z P g j c 3 S X o j 9 Q k L S 1 Q v X P Y E S B Y 3 F q 6 L I d p D K x E C F i 4 C Q d I f O h M h Y O E i E C Q N o n M R A h Y u A k H S I b o U I W D h I h A k L a J F T m e J n J b U S C Z y O k v k t K R G M p H T W S K n J T W S i Z z O E j k t q Z F M 5 H S W y G l O j a T V 9 8 U d E 9 + x s Y S J + 9 Q E C x i s B s x B m I j 7 1 A Q L G C z 9 y 0 K Q b R E s Y L D O L w t B 3 K c m W M B g U V 8 W g r h P T b C A w Q q + L A S R 0 3 k i p y V V k o u c z h M 5 L a m S X O R 0 n s h p S Z X k I q f z R E 5 L q i Q X O Z 0 n c h q p E p w o g D m n O w F L 4 L 6 A s V y / X T S w 6 z d P j / J S M J G Q r 9 9 B i P 9 y D U k w 2 G 8 4 N J Y X s K W d 0 N l i v V k 9 X G + a h 5 U M r G 1 9 M 1 v N b F G E h K a b 6 f 3 V s l l Z B 6 B h R U I H E L G O M t Y N C K e z l e 8 V D W w L L E 1 p p q V m w + L f U W b y g D x W x t q F f O S b d y / z J Z + f 6 3 t A f W k O g t C 2 a B / u i y D o J a A Q k p j G g A B 8 c R E D + M D T B H M f U B B n E R C e x U S A M J k T K J h D v E n p 2 R b Y f U X c 3 w u w v 7 c w S V 1 q 3 8 o N h C 1 q 7 R W i D V A A G 4 B i o Z O w k C z C Q r Q T C m A n U C z o q Q V h I V m N h e z D A r Y E x W K S h I V k W R a i v V E A e 4 N i Q c 9 X C A v J + i x E 6 S y T p L N I w k K y U E t R O s s k 6 a Q n Q Y S F Z M W W o n S W S d J Z J W E h W b q l K J 1 l k n R S 7 w T C Q r K G S 1 E 6 y y T p 3 H t T Z b U F T O Y 9 H q J 8 V m n a M 1 F 9 S v q z E i W 0 S p J Q l a Z A l a R B K 1 F G q y Q Z V W k q V E k 6 t B K l t E q S U p W m R J W k R S s 5 X p A m p 2 l q V A E 9 K l l T C c b F 0 D R M 7 C y I q 6 R G q 8 S C j t o Y n r U Z t T F q c Y 3 U a I 0 Q L N A S o V h I K 6 Q W V 0 i N V g j B A i 0 Q i o W 0 P m p x f d R o f R A s 0 P K g W E i r o x Z X R 4 1 W B 8 E C L Q 6 K h R h y i 8 T c k s Q T G R k U D T E w N 5 Y j c + M k A U V m B s V D D N + N 5 f j d O E l E k a F B 8 R C D f G M 5 y j d O E l J k a l A 8 x F D g W I 4 F j p P E F B o b Q H 9 J x o Y a y 5 K K w s M A E y p m E B P a z I k h y 6 K K o s g A E a 4 V s D d Y R G R Z R c F m g A g d B C J C m z m I y M K K Y t I A E Q 5 d Y H G w i M j S i k L X A B F K D U Q E N Q N e l R Q / x p O D 2 0 p e H C i 8 3 U K N e z L a R v Z u 2 t 1 m 1 D 7 n W D Y / G z S Z 8 Q b c t d G R u x j Q b C f l t g e g b M Z E s k 7 R l i w Y B a L s H t q c V M T 9 J D z a 0 G I f F N d X W l 4 Z K O 5 O 0 Y Z n A h 5 t K p M I b c l G U i B a 7 6 K d I X V O 0 I Z H C B Z t F L 4 H a E t G l c p k z Y z i 9 x R t j u s M 2 p z g U S O M 0 5 4 g 6 O 9 h T U U I Y M 0 3 g l h z c k d N N h Z r W f W h c D z F m h d / h D U I z y O s 6 a B 7 r E E M 3 8 O a 0 1 T Y v k v D m p M 6 a g 6 y W M s b P Q r q g 2 2 G 5 w h E m 5 M o Y D y y e F N W e H j z E x m z H X m 8 0 e 0 A h L d k a s q 3 A x S 6 H g D w 5 l t B v N M 2 S d E y B b c K P L y T N k l o m Q p 4 p + 2 S o i E r 3 z N Q 6 K I B w J v X 7 h D v t G 1 S t H t B p M q 7 E 5 q 0 T b I G L c Y b x 6 U o 3 n D U w 2 5 v D U l C z u 7 N c p x L 4 U D X W Y q p f J Z u K g + 6 D a b k o J j C U b E Q Z W g q M y i b M a H W H X T F T I E 4 m Y c 2 F P w Q b W g q s 2 j j o N i g e 2 t K D n g p H P E K 0 Y a m M o 8 2 V H W D L s M p E A P z 0 O b W I T a V S S O I N i d 4 1 F T m N J c c y 1 I 4 m B V i z c s / x J q T u 3 R L G c S 2 v B v y U N + G W H M r D G O N w 1 j w J i C L t a z 5 c I A q x J p n C M S a E 6 h 0 S x n E q z y s + W m M W c o 8 1 h y R 6 Z a y H P V R M O x D d x m + F U I b x H j g V i N Z y i A S 5 O H N K a o E S 5 n H m x O 8 A Z a y H N N R M K h D 8 e Z V O 8 Q 7 b Y 8 U L W U Q 5 / H w T t o j s a X M 4 a 1 h U A f g L V j K W o 7 X a B i v o X j z G g f i n b Z L S p a y B g E c D + + k X Z K 1 a R m 8 0 7 Z J 5 E U f k D u Q f Q 4 j h 3 A 0 C O E 4 f U U 1 p i V V o u U 4 i Q b L 4 o D s j / 4 A f t J f / x v K h e u 3 i O V 8 Z W B R O l C G 3 X R Q t L W X r l g G R V v E 8 t A y o O g 6 Q d m A 0 0 H R 1 l 6 i Z R k U b R H L j c u A o i s R Z S 5 O B 0 V b e y m i Z V C 0 R S x f L w O K r m B U R S A d F D B / X j n v N v d 5 y E b P / D M 7 u P w 9 K A s u / 7 R S N F 0 1 2 k h a u L F D + y v v w V m P C z q O B 2 0 N I f s J G z 2 7 t x k y D J G j u + b h 7 2 Z i 7 p e 3 z X z 2 9 g 7 d / u + J E m 0 W j c K m l C h w r O e I A o f 1 A 4 k y y A k H D Q 3 i r B 5 h w K i h h I G D P 0 c Y O M 4 f T B g I l e 4 J k 2 O W G s U s K W H A N c A R B g 7 8 h x M m m X N y V F O j q C Y l D M T Z O M L Q d b 2 D C R N O 6 l q O e 2 o U 9 6 S E g f t N H G H g k t P h h A k H T C 1 H R j W K j F L C w I U p j j B w a + p g w k C I 1 S F M V v U o d k o J A z e w O M L A N a z D C R N c X V o O r 2 o U X q W E g S t d H G H g X t f h h E m H B D k C q 1 E E F m z O 4 I 4 Y u z u j N + G H k g a C u X v S 5 D C t R m F a Q B q 3 F h F p 0 b Y D K J M O w n I o V 6 N Q L q C M 2 / A Q Z d G 2 A y i T r A 8 5 2 K t R s B d Q x n E W U R Z t m 0 4 Z i B o 7 y T l k 8 w O F g w F l n A J F l E X b D q B M s j / k g L F G A W N A G d c K U R Z t O 4 A y y Q C R Q 8 o a h Z Q B Z d x q R J R F 2 w 6 g T L J A 5 K C z R k F n Q B m 3 6 y H K o m 3 T K Q P R a 4 c y 2 Q R B I W J A G c d Z R F m 0 7 Q D K J B s E h I o 9 y p J s E P b 8 h i i L t h 1 A m W S E y I 8 l N Q o M g 8 M 0 1 w q d p q N t 0 y k D I W c n Y Z J s g 6 D Y M a B s g A 0 S b z u A M s k G k Z 9 T a h R e B p Q N s E H i b Q d Q J t k g I G 7 t U Z Z k g 6 D r y i x l H 9 A G A d H t P W X y Y 0 u N w t S A s g E 2 S L z t A M o k G w T E v z 3 K k m w Q 1 l O C K P u A N g i I k j u U y T Y I C n c D y g b Y I P G 2 A y i T b B A Q R 3 c p Q x F x Q N k A G y T e N p 0 y E G t 3 K J N t E B Q z B 5 Q N s E H i b Q d Q J t k g I B b v U Z Z k g 6 D H B S x l H 9 A G A f F 6 h z L R B s l Q 3 B 3 4 v Q f Y I P G 2 y Z R l I K L v V 5 g C 3 / b 1 p P y P T v E o / 4 N b L Y q F F a 0 O F U x x J O + 0 X B h L a A z K Y u H W q D A W b g k r Y 4 W e r L b g s V u t C l Q 3 j l + W P b x s M p v 3 E N z q 8 O R b 2 F 0 z + e J F B i 5 e O H 1 F j Z G B C w 4 d 9 T e 7 V b A n V r x o m 4 G 7 E B 4 g Y S v K w F 0 I t 6 9 0 e y k D v j G v L z D u W A L F B N T A o e M B k r g A H A t e X 8 E e z u S I Y I Z O i S y B k p S B Q 5 m X m V V i A j g c e H 1 F u P K 8 I k u P p U 8 4 M W X A s P L g S D w A G 7 z X V x J u O d q U o W g T S x + d C 6 F 6 X y D J S b X 8 g j 4 H 1 Y E N t q 2 U I r A h T V y h Q L / d + W x 9 P Z / O U I G T M 1 s t q 7 s A d W M 4 M X r W 1 y r 6 7 M U 5 I N T W a P r s z 9 9 / Q 3 G x 1 Z e m 9 k Z I V 0 b J / / p F Y 6 b S V g d 5 s z Q 7 Q z N / 0 8 z o m w X b a D q / Y U s t 9 Y O s N 6 Y N n U G z E d n Z Q P B t H a 6 R L X F F K 3 4 8 X z Y 3 x l J Z e Q M H V J N O 3 5 1 / 9 Y d R X z j K F g a j w t m V 1 N h u y l 2 N k B n e j L 2 C G f u W I 3 Y 3 i f R A l z C 8 + h m p M I Q e G M Z Z M s V n C H / c E m H h t / w H L c / + 2 K x + s d k D 3 W q F 3 z f 3 y 0 e n Q L T t 6 1 Q S s z W I n a p b u N A W r q 3 F l t O K V t C i R b O Y O l m R 0 l h s N S x c A E u u e Y X L X M m V r b h i V r H 6 V X z J q n i V K r E w l V e L K i w / R S p O + U W m v L p S u J R U U P u J l n s 6 u M r S B y 6 V x B U + k m s d w f J G s Y p G 0 S J G f D 0 i U M Y m U p o m W m 4 m u Y R M b 4 Q c t c W r d z a H M 0 R w i 9 r t 0 1 Z 0 8 b w L b D / t 9 c u C f h O 2 X + b 1 y 4 N + B d t v 4 v U r g 3 4 V 2 y / 3 + t V B v / Y Q w t d F c T O G h D 3 5 q S n 9 n u H c K H 5 y K r 9 n O D u K n 5 7 a 7 x n O j + I n a D 8 F F w m 5 W N y n G K G s u A N J Q q a J l G m 2 p y 9 m O p x L P W F 7 + o K m w 7 n U B d v T F z U d z q W u 2 J 6 + s O l w h j J + h n x p y 8 I Z y v g Z 8 q U t C 2 c o 4 2 f I l 7 Y s n K G M n y F f 2 r J w h j J + h v b S l v a k 2 Y E S z u b E H U q S t 0 k 4 m x P N 9 v T l b U L 0 2 o T t 6 c v b J J z N S c H 2 9 O V t E s 7 m p G J 7 + v I 2 C W c o 5 2 f I l 7 c 8 n K G c n y F f 3 v J w h n J + h n x 5 y 8 M Z y v k Z 8 u U t D 2 c o 5 2 e o k 7 f W a h D S 4 8 s Z 8 V O S 4 E e S t g t 5 2 u O p 2 c M M n p F s 7 G H 2 r b T M 6 m E y g k h 6 9 P B F V j T V + Z a I d P u l S z b u G Q f j / T j k o U I 4 S U A P F K G U F 5 o Z U H M D + u q h C I W / m D A D Z t y A v t Y o i D 1 U M A N O u A F 9 Z V K E S 6 W o m A F z b k B f x x Q h U 0 q O K Q U 3 o K 9 6 y p A p J c e U k h v Q 1 0 h l y J S S Y 0 r F D e g r q j J k S s k x p e Y G 9 P V X G T K l 5 J i i x t y I 3 Z f 9 k C F b K n a t 8 I v F X y 1 V y J i K Y 4 x i l 4 v y 1 0 s V s q b i W K P Y B a P 8 F V O F z K k 4 5 i h 2 y S h / z V T k c M G y h 1 0 0 u y 9 D M i o 7 G I T c r M f 7 4 Z D m w 7 m N n W N P y M t a M w N q b k C f k 3 X I y X r C D J h x A / p 8 r E M + 1 g U z 4 I Q b 0 O d i H X K x r p g B c 2 7 A 4 O h I z 4 4 c V w p u x O B M O S a H y j H H l 5 I b M j h s j s l p c 8 x x p u K G D E 6 h Y 3 I M H X O 8 q b k h g + P p m J x P x x x 3 1 J g b M 1 C B X c J b b 1 D F L h t + 3 Q T + E H r u V x y L F L t 2 A j W o q E t A c U x S 7 P o J F K G i 3 g L F s U m x a y h Q h Y o 6 E h T L K H Y d 9 W p y o I O B e B i U H u 9 H g h Y g k 3 1 r / 1 V 0 f h H H h N K a A a h l g N v c q R B o I A y d C 8 M D m j N A s y j Q g g M a C A t x a i h d M U A n U a A 1 B z Q Q p s 7 9 4 Q L N F A M 0 j w H N N A c 0 D 4 C S t Z Z N G K B F F G j O A Q 0 U e + c 6 8 Y C W D N A y C r T i g I Z + R r J c J t x y q W J A J 4 o D G m w O n S v F A 5 o x Q O s o 0 A k H N N g + i H N F T Q o G q B p H o Z Y c 1 H C D 6 R w x H t i a A x t R S N t 0 l x h s o J W I c 0 b l n F Z S U b W U s 2 o p 3 K R y o p d y T i + p q G L K W c U U b m P E u a N y T j O p q G r K W d U U b n Q F 0 U 0 F p 5 t U V D k V r H L q + w 7 1 f i r i a 1 C 9 s w E l W x Q S 7 O y / i p s h 8 U W o 3 h m B U i W K m Z + K k g M a C F 1 B l l h R M 0 C z G N D e M x F x 1 S r i g l C l Z o B O o k A z D m g g c C V Z X m X O A M 2 j Q A s O a L A Z E s + D 6 l 0 P K E e g D L T m g A a b Y U W W V q U Y o G U M a K U 5 o M F m S F w N q u K W S x U F m n N A g 8 2 w I t t + V T J A 6 y j Q i g M a b I b E W a D q M Q N U j W N Q a 8 V B D T f D m m z 8 d c a B j S i k b U Y 7 D D b Q S s R P o G p O K 6 m o W q p Z t R R u h j X R S z W n l 1 R M M e k x q 5 i C z V A T B 4 E e c 5 p J x V R T l w 4 O g w 0 i n u N Q N 3 V 5 3 i D Y m H L S Y 1 Y 5 q S B c S r w C X a 4 1 t w W J O Q d i q c l 5 X W / F I D 0 h k z s a i T d v p x k n S 5 L z I z 0 h I 5 K L E g l k b 4 / 5 O N W R n N 3 o i f m M X L T C B d J l L e I S F c m 5 i Z 6 Y j c h B C 1 w 1 0 A x a E x E t 9 H V g L i E X L b L A t m d + n C R I z g v 0 x E x A L l p k A W 6 9 A j j F j 5 z V 5 4 l 5 f N x L H 6 E B o T P F o F W K a K G v A 7 P w u G g R 5 Z B x y q E S 0 U J f B + b Q c d E K j R C d l Q x a t Y g W + j o w A 4 6 L F l H d W + 8 E k 9 o m k s 3 m i f l r H M S I B 0 N P M g 6 x i J J / i p b f p p 9 x E S O a f s J p e i W r e v h 5 Y P Y Y F z G i 6 y e c r l e y s o e f B y Z / c e 9 4 E W 2 f c 9 p e y e o e f h 6 Y u 8 V F j O j 7 n N P 3 S l b 4 8 P P A 1 C s u Y k T j 5 5 z G V 7 L K h 5 8 H Z k 5 x E C P + G F 1 w O l / J S h 9 + H p j 4 x E W M a P 2 C N Q l l t Q 8 / D 8 x b 4 i J G 9 H 7 B 6 X 0 l K 3 7 4 e W D a E R c x o v l L T v N r W f P D z w O z h r g X O 4 n m L z n N r 2 X N D z 8 P T P r h I k Y 0 f 8 n a + B E j / 2 m a v w w 0 f 0 k 0 f 8 l p f i 1 r f v h 5 Y M o N B z F y W U V X n O b X s u a H n w d m z H A R I 5 q / 4 j S / l j U / / D w w 4 Y W L G L 3 W z G l + L W t + + H l g v g r 3 0 j T R / D W n + b W s + e H n g e k m X M S I 5 q 8 5 z a 9 l z Q 8 / D 8 w W 4 S J G N H / N a X 4 t a 3 7 4 e W C y B x c x e g G e 0 / y Z r P n h 5 4 G 5 G g 5 N F O B c Q R + H O 0 b 3 h t 9 t E a 7 3 7 q W + 2 y L k V v c e P / I E 3 x 0 g V M L d O 3 v 3 9 U C 4 h L L A j d o 9 o P d b Z D I S w X s f R e g M v H n d 8 3 e / R f B U g f i M s q 3 l I T 5 l d w b Q h E 4 d 0 K k J n T o c g x C y V b T i e 3 N 3 A E K n D u j U h M 7 A w 5 E R D 0 e W K R m J F k f v L X T 8 + b P 7 4 J m 8 c e a e N Q c v m c H D Z f + t s v 8 8 G b 9 I t m + Q 8 b P j o x f f j X q 0 2 x n o X h 7 7 L + n a B 8 P 8 S z r 3 P f E + y 0 n / C F h 4 Y u e + E v Z 7 0 u d 8 L + X n f C + F 5 3 z 7 J 7 4 / L u e 3 9 t 1 j 9 8 h + 9 9 5 3 / 4 z X e e 5 r m 6 3 2 7 3 3 R 4 + B j m z D G T O b N 9 L a V L 6 M M F 7 N b O / W L h / u t l H x r P e + P / R f 7 0 8 v l v X 3 v P 5 3 P 2 z e a 9 q F n + z R 1 3 t x O b V W E R y t N V i f e L R d 2 M O e h Y / e O t x P J 3 c t N + 2 y z L b T S / D y b / / d / t Y I a S H A 4 z E / N / C 5 4 H P r 5 d h o v 6 c R f y h N / m f 6 O c v f D R f j D W f j D p Z Q b Z k 3 f e S a V J 9 + B S i z R u J / G / d s T 7 + f d o 5 E 9 n 6 e L 4 K 2 u / f Q f L Y j R Z t W 0 r z T m a / K Y 5 c f l q u u 8 M V t i / 6 R 2 Z X A k T e 1 g D 7 P N X Z v x Y W a 5 / g f S 5 l U / g B K + a f L t Z S t X V 4 1 R H N O N h T I 6 O T l x 8 l 3 g R z g 7 o t 3 Z A C R 7 L 2 w k g r 2 G k F y v h U c s 8 0 U H X + K E g v d A w V O a 7 g N / 4 X z b 8 Y L c w d x + Q D d S 9 s A S h b + F L 8 g + h 1 L i c h l S 0 N R 9 v + 0 8 r F 9 v t 8 r k O l G H V F k K C i v B W k r R 8 k l + x S R Y J C l a F 8 k v h Q S r H 0 U L H v k 1 j m B Z o 2 g l I 7 9 4 E a x X F C 1 R 5 F c l g o W I o r W H / H J D s M J Q t K i Q X 0 c I l g 6 K V g v a H m U S y / w E i e X C X H J u + j g v Y 9 y g J H E 0 L 9 x T c q J J O Y r S s h I d l o c o L f W Q k G 3 o q D d J t / Z s 9 3 d v / 5 4 b h o 7 + / M 4 m 8 7 l x D L l v p 6 0 t F r X i r E L a G 3 E x 8 + / 4 / f u n W G f n u 0 Z H T l a Z n 9 p 5 s S b g 4 7 S l 2 c H u 3 X x 6 3 f w 4 n T 8 0 z y I k H R 9 d T M 3 / / e 3 o e N t r t e v + Q / O 3 j T F E H d g s a M X C J k g e H 3 1 r O X c 0 C J 5 E g e K 5 Q t G 0 f E g 0 d d 1 m V 7 O 3 p I n A C X 0 Q K 1 S c F 1 G c W J S y Z A 7 p O I v S 0 Z D o 1 e m M y 1 r G x Q 4 f 7 f c T + F V g 1 u Q g Z u m U h c O j w 2 K T J / N p k r K U D s C g S M Y g t 3 N g x z b / P d 7 + I 8 S k 7 W t Q g Q f D I E P W a P 1 u P m u V u 9 k P r C E 2 s 9 r b 2 H p 3 r n K 7 t I 0 6 U Q E 4 F c I p t O 1 p L M d u C D t H X / x q t M 3 s f m Z + f G a J G P 3 7 w 3 L T X G 5 + N X C + X D 9 + 2 m b e A 4 O d K A 7 M i X a o 8 l N 5 O Y q q 9 d n 8 b I 4 q H R 2 2 X e 8 K E G f B L g M W I T / V G 4 O d 2 y x t n W b 8 O g 0 J F N G z m b N O e h f A y G a M s v / d K R B p j Z Y H r V G j N Y 7 2 H g d J r U Y Q S 5 q m S b o 6 K / m J 0 v 1 E t Q t q 0 C x V B 8 3 S x F n F k S n i U G I x q p N 1 i b G l x 8 e L h / m c 1 S B C 6 s K U Z I U p 6 Q l T E h K m p C C U k g 5 K a Q b 5 x I J p I p i n i 2 D d i q A 0 p 5 0 r o 3 c K p C a F P O o d e r v f U p N D h j 3 1 U W q S y C P H S 0 i g x n h F + u 7 h s j w 8 c 9 I m k h l i u e v 2 6 r 0 h s Y S S X i / H L y K Z n 7 w 5 L k t P 1 K Q J 3 b g C D r w N D N C N W j I 8 Y N G i H n A 2 s A G m 9 x S Q 9 Q u 8 W f 7 i c F m g m T e y I 1 g m T T z n L B c Q 4 m 1 b g H s S E + J I i K Q O s P l t P O + 9 D H T H n P 1 i E u a C t 6 w j G C c x J y V G R F B K N 7 V t K D O F P S l o i O Q K x h 5 A f 8 c g M V D T s s j V X J 3 G C 6 I 3 l / t E U j e z x 5 N 9 K y + k c / H A t P L i P G f u S 8 y u n c C F w 4 x L G 2 a P W i z / D O G m R M Y P M F 9 1 u W X 8 A P I M e 0 8 s M 5 z P F s j C 4 3 M a 8 U Y G I k M N i C 0 Y U R E G g 4 F X 8 + P J Y t U 1 Y A J 5 X + / / 8 p u 5 o a z + 3 5 J w H m b T q 0 l c a 3 3 t Y b x H h s c l 3 Z q 3 F y V i 6 m o w / G y c D r + O L s 7 0 y J G A U b r f 0 1 4 M i a m L j 8 H A D 6 T L B p y D s s 5 p w c 7 9 p W / d R z h x E f y 0 7 c S w 5 8 I / A / D M O g s 3 z w H M e 0 1 / d U g Z x N T X 7 E e H z j S e v 6 a / O p O Q q r x f Q x k R 1 u u B j v m E k x E X o x a Q S X f J Z w k + + T g C I o n F g C U T e O N p V P 5 V g E L y N S m P P 8 E 9 q Q j 6 9 M q U 3 a S P 4 T 2 p f Y g p I c 4 j B x b i b s 2 I P 4 9 6 W p A P B X l H s N 8 D e z Q 4 n w X n l e D 9 D u R A T A 5 h w O Q H 9 j 0 w 5 q H l L t m O k j E o 2 X a + h e Z a H 0 O v l L h + g l D 5 u x r e V + J Y L Y s a F u t M T g f S N f j x 7 s E / 7 d 2 D 4 4 9 3 / H 7 P d / w + 3 j r 7 3 d 4 6 k w t s x k p q S k U 0 x b K Z / x q 3 3 Q T L l 3 d L R + 3 D q C H + 2 + 9 y A m H p t z e y h O s b / 6 u k p P u m b d 6 K N G f L h 7 A K E s 8 z 5 Y D z z N a P / Q Q 7 5 T V u 9 c 1 z 8 T R 6 o O O 5 T L g n 9 l t Z P Q I 1 v K c S E B 6 / Y v b b U 9 A / v F n b 2 T b s W z b u F c 8 v l / d X s 4 U k N 5 U 9 d A Z b 9 W t h + 3 w t b G m v h W 3 G U d z / O N 6 i t d r h F 7 v G 9 O 1 y 0 X x 6 v B v D V k y T J 0 A J M 4 B n z E w C N F C g x Q F N C G g T w E 0 e 7 t p w O 6 T 7 2 8 F z 1 w 2 1 j k y c H j p x 1 v M Y t + K i J l r U / o o a V 1 H L K W o W R W 0 P 2 b A 4 m D N 0 2 C N e Q f H h C 4 a f B q b 5 n 6 S l n F X V i 9 w a 0 5 u 6 c V U D N q 7 t J Z 5 B L x D O J J N N u C X L B 1 8 i 5 C T a B h E b U g R S p 8 + Z z V V l 7 9 4 d c C h 7 R X 4 + O r z M 8 t F L 2 2 L U b K 6 3 Q e w 0 l 8 N 3 6 O P R r m h y u t / q e U L Y S x C G A / 3 o y V G 5 / 9 k T V b J 7 W g n u a T B H v y u X 9 E f 3 c Z r 7 O G F l H f 9 L + 4 0 j S z Q 8 p c a W r H u K l Z a v d 8 I V v S N P 9 F f z Z 7 n j D + G Q d v Q + q 8 + P P / q W P / q W U 3 z L w C T Z n x e T r N K Y R d h v j d / P 3 r Z b 4 d p m + m n c A v a X 5 p e 4 6 6 6 7 Z + H L 6 m u 7 h Z 6 c N + v r T q A l k 4 O / a k M w i x k Z g 6 V p C F c 6 E n o C Z u u E B 5 q A 2 O P R + H j U U j H C Z I z e H 7 w n C i i O o j e a P I L M 8 O 0 J q U 0 E A 8 9 I o 0 M P S f 7 T I s f g Z N 5 O Y W L a 9 5 6 i q e O + h v p k t m C g / 9 s n n 6 z f T I 3 S G L 0 8 P z O o z J t N 2 9 I m 4 j F / f r l + P D l f X j / c 2 5 q w X 8 1 a F 8 C i 3 U S f H Z 3 a P D r r 0 8 3 b 5 u q q U a f f z K 5 W 0 9 W v p 1 / O z Y Z 0 u V m u p r f N 6 e t F c 7 6 a P T a f f W X U 0 s q a g Y a C 5 4 0 9 L 6 y b y 9 3 m d j s z P y y a x e 4 H K / e X m 5 O v H 6 6 a 1 e Z h f f r c f F y Z l f z Z 6 M U P B v w v s 7 u 7 x m b 4 O X 2 x M B r C N H 9 s 9 5 B T P d b 5 6 f X 6 s Z N o w 5 3 F 6 c 5 O t f 8 8 P 7 M N T k w D c 5 g e / W d / C D d 0 t s f w r c 1 r / i x 1 d j z 6 0 + J 6 2 S b + + e O o y M d j 9 Z e e h V 8 3 U 0 t A + 9 T Z M M U s q n Y v f m y m D 3 t 2 f r d a 3 p t j / b b t M z u h B u j 2 1 7 P 5 / P J 6 O j e c + u N m 9 d D 8 h Z G O q H B I m B g R f R / u q S 8 W m 2 J y Y n u 3 R y t f a 7 U S Y 7 f X z e y + + x 5 s u b R B k A w p G N 4 5 J P h P + M 7 m 5 l j a N I v P y Z c f 2 y c i T o 1 e r o m 9 A z I 3 t u D 2 E M s 0 m e 6 N 9 b R W R v l t p r P 5 W m i 9 N k Y 8 / d x t f S M R c 9 q G B / f F t l y x P G L f a m c 0 J z R J g L m z p x O a J I y 2 t 8 O T G v E j v u q z 7 c n T j J p J o z o H A 3 H g y + 1 J l H 5 x T H P m 4 / a I Q L / 2 9 j / 9 t D t C i P A 6 e x z J K 7 3 i 7 b e g p 3 X / + 5 9 s r e / 5 9 G b V r M k 3 Y x d I n w 9 P C Y F W T C y l g d / n f N m 0 H r D F d L r e B I e D 9 v f l b Y v N z r S x L q j P q f K K P M o P Y M 5 s V X Y z e O O a m d 3 w t 4 3 d n Y 2 l M L I S u W y P R T t a b t p b h m t R 6 p h H 3 4 C X L Z 3 X x j 4 1 c j N t s 9 s F W P Y 3 G 7 d 2 e g + V b / q 4 V X t 8 C 1 B Y X Y C 8 o y O x d X B m Z 9 q 1 k 8 I y h 2 b o o 9 / 5 l 1 i w L T l d B 8 I T y + R H B 0 V p / e i g Z x E 6 h I x / t O 0 g B C 8 j k I W 3 b L T t E M g v I j T 7 z 6 3 I l L 0 Y M C X + m y w w 1 D C 8 z + T B 6 L 1 8 m t k V d 0 u 6 I B 9 0 3 a X y p L Z Y n 9 O T m 9 x + m X U 1 k f i x / 0 q T N b g 5 f 9 P G 1 8 L 4 m T T + J G 3 8 T B g / l 8 Y v 0 s a f C O O X 0 v h V 2 v i 5 M H 4 t j d / m 3 E 0 A U E g M F j m s E l l c S h B E H q t E J l c S B J H L K p H N t Q R B 5 L N K Z H T L L 6 z P g j c 3 S X o j 9 Q k L S 1 Q v X P Y E S B Y 3 F q 6 L I d p D K x E C F i 4 C Q d I f O h M h Y O E i E C Q N o n M R A h Y u A k H S I b o U I W D h I h A k L a J F T m e J n J b U S C Z y O k v k t K R G M p H T W S K n J T W S i Z z O E j k t q Z F M 5 H S W y G l O j a T V 9 8 U d E 9 + x s Y S J + 9 Q E C x i s B s x B m I j 7 1 A Q L G C z 9 y 0 K Q b R E s Y L D O L w t B 3 K c m W M B g U V 8 W g r h P T b C A w Q q + L A S R 0 3 k i p y V V k o u c z h M 5 L a m S X O R 0 n s h p S Z X k I q f z R E 5 L q i Q X O Z 0 n c h q p E p w o g D m n O w F L 4 L 6 A s V y / X T S w 6 z d P j / J S M J G Q r 9 9 B i P 9 y D U k w 2 G 8 4 N J Y X s K W d 0 N l i v V k 9 X G + a h 5 U M r G 1 9 M 1 v N b F G E h K a b 6 f 3 V s l l Z B 6 B h R U I H E L G O M t Y N C K e z l e 8 V D W w L L E 1 p p q V m w + L f U W b y g D x W x t q F f O S b d y / z J Z + f 6 3 t A f W k O g t C 2 a B / u i y D o J a A Q k p j G g A B 8 c R E D + M D T B H M f U B B n E R C e x U S A M J k T K J h D v E n p 2 R b Y f U X c 3 w u w v 7 c w S V 1 q 3 8 o N h C 1 q 7 R W i D V A A G 4 B i o Z O w k C z C Q r Q T C m A n U C z o q Q V h I V m N h e z D A r Y E x W K S h I V k W R a i v V E A e 4 N i Q c 9 X C A v J + i x E 6 S y T p L N I w k K y U E t R O s s k 6 a Q n Q Y S F Z M W W o n S W S d J Z J W E h W b q l K J 1 l k n R S 7 w T C Q r K G S 1 E 6 y y T p 3 H t T Z b U F T O Y 9 H q J 8 V m n a M 1 F 9 S v q z E i W 0 S p J Q l a Z A l a R B K 1 F G q y Q Z V W k q V E k 6 t B K l t E q S U p W m R J W k R S s 5 X p A m p 2 l q V A E 9 K l l T C c b F 0 D R M 7 C y I q 6 R G q 8 S C j t o Y n r U Z t T F q c Y 3 U a I 0 Q L N A S o V h I K 6 Q W V 0 i N V g j B A i 0 Q i o W 0 P m p x f d R o f R A s 0 P K g W E i r o x Z X R 4 1 W B 8 E C L Q 6 K h R h y i 8 T c k s Q T G R k U D T E w N 5 Y j c + M k A U V m B s V D D N + N 5 f j d O E l E k a F B 8 R C D f G M 5 y j d O E l J k a l A 8 x F D g W I 4 F j p P E F B o b Q H 9 J x o Y a y 5 K K w s M A E y p m E B P a z I k h y 6 K K o s g A E a 4 V s D d Y R G R Z R c F m g A g d B C J C m z m I y M K K Y t I A E Q 5 d Y H G w i M j S i k L X A B F K D U Q E N Q N e l R Q / x p O D 2 0 p e H C i 8 3 U K N e z L a R v Z u 2 t 1 m 1 D 7 n W D Y / G z S Z 8 Q b c t d G R u x j Q b C f l t g e g b M Z E s k 7 R l i w Y B a L s H t q c V M T 9 J D z a 0 G I f F N d X W l 4 Z K O 5 O 0 Y Z n A h 5 t K p M I b c l G U i B a 7 6 K d I X V O 0 I Z H C B Z t F L 4 H a E t G l c p k z Y z i 9 x R t j u s M 2 p z g U S O M 0 5 4 g 6 O 9 h T U U I Y M 0 3 g l h z c k d N N h Z r W f W h c D z F m h d / h D U I z y O s 6 a B 7 r E E M 3 8 O a 0 1 T Y v k v D m p M 6 a g 6 y W M s b P Q r q g 2 2 G 5 w h E m 5 M o Y D y y e F N W e H j z E x m z H X m 8 0 e 0 A h L d k a s q 3 A x S 6 H g D w 5 l t B v N M 2 S d E y B b c K P L y T N k l o m Q p 4 p + 2 S o i E r 3 z N Q 6 K I B w J v X 7 h D v t G 1 S t H t B p M q 7 E 5 q 0 T b I G L c Y b x 6 U o 3 n D U w 2 5 v D U l C z u 7 N c p x L 4 U D X W Y q p f J Z u K g + 6 D a b k o J j C U b E Q Z W g q M y i b M a H W H X T F T I E 4 m Y c 2 F P w Q b W g q s 2 j j o N i g e 2 t K D n g p H P E K 0 Y a m M o 8 2 V H W D L s M p E A P z 0 O b W I T a V S S O I N i d 4 1 F T m N J c c y 1 I 4 m B V i z c s / x J q T u 3 R L G c S 2 v B v y U N + G W H M r D G O N w 1 j w J i C L t a z 5 c I A q x J p n C M S a E 6 h 0 S x n E q z y s + W m M W c o 8 1 h y R 6 Z a y H P V R M O x D d x m + F U I b x H j g V i N Z y i A S 5 O H N K a o E S 5 n H m x O 8 A Z a y H N N R M K h D 8 e Z V O 8 Q 7 b Y 8 U L W U Q 5 / H w T t o j s a X M 4 a 1 h U A f g L V j K W o 7 X a B i v o X j z G g f i n b Z L S p a y B g E c D + + k X Z K 1 a R m 8 0 7 Z J 5 E U f k D u Q f Q 4 j h 3 A 0 C O E 4 f U U 1 p i V V o u U 4 i Q b L 4 o D s j / 4 A f t J f / x v K h e u 3 i O V 8 Z W B R O l C G 3 X R Q t L W X r l g G R V v E 8 t A y o O g 6 Q d m A 0 0 H R 1 l 6 i Z R k U b R H L j c u A o i s R Z S 5 O B 0 V b e y m i Z V C 0 R S x f L w O K r m B U R S A d F D B / X j n v N v d 5 y E b P / D M 7 u P w 9 K A s u / 7 R S N F 0 1 2 k h a u L F D + y v v w V m P C z q O B 2 0 N I f s J G z 2 7 t x k y D J G j u + b h 7 2 Z i 7 p e 3 z X z 2 9 g 7 d / u + J E m 0 W j c K m l C h w r O e I A o f 1 A 4 k y y A k H D Q 3 i r B 5 h w K i h h I G D P 0 c Y O M 4 f T B g I l e 4 J k 2 O W G s U s K W H A N c A R B g 7 8 h x M m m X N y V F O j q C Y l D M T Z O M L Q d b 2 D C R N O 6 l q O e 2 o U 9 6 S E g f t N H G H g k t P h h A k H T C 1 H R j W K j F L C w I U p j j B w a + p g w k C I 1 S F M V v U o d k o J A z e w O M L A N a z D C R N c X V o O r 2 o U X q W E g S t d H G H g X t f h h E m H B D k C q 1 E E F m z O 4 I 4 Y u z u j N + G H k g a C u X v S 5 D C t R m F a Q B q 3 F h F p 0 b Y D K J M O w n I o V 6 N Q L q C M 2 / A Q Z d G 2 A y i T r A 8 5 2 K t R s B d Q x n E W U R Z t m 0 4 Z i B o 7 y T l k 8 w O F g w F l n A J F l E X b D q B M s j / k g L F G A W N A G d c K U R Z t O 4 A y y Q C R Q 8 o a h Z Q B Z d x q R J R F 2 w 6 g T L J A 5 K C z R k F n Q B m 3 6 y H K o m 3 T K Q P R a 4 c y 2 Q R B I W J A G c d Z R F m 0 7 Q D K J B s E h I o 9 y p J s E P b 8 h i i L t h 1 A m W S E y I 8 l N Q o M g 8 M 0 1 w q d p q N t 0 y k D I W c n Y Z J s g 6 D Y M a B s g A 0 S b z u A M s k G k Z 9 T a h R e B p Q N s E H i b Q d Q J t k g I G 7 t U Z Z k g 6 D r y i x l H 9 A G A d H t P W X y Y 0 u N w t S A s g E 2 S L z t A M o k G w T E v z 3 K k m w Q 1 l O C K P u A N g i I k j u U y T Y I C n c D y g b Y I P G 2 A y i T b B A Q R 3 c p Q x F x Q N k A G y T e N p 0 y E G t 3 K J N t E B Q z B 5 Q N s E H i b Q d Q J t k g I B b v U Z Z k g 6 D H B S x l H 9 A G A f F 6 h z L R B s l Q 3 B 3 4 v Q f Y I P G 2 y Z R l I K L v V 5 g C 3 / b 1 p P y P T v E o / 4 N b L Y q F F a 0 O F U x x J O + 0 X B h L a A z K Y u H W q D A W b g k r Y 4 W e r L b g s V u t C l Q 3 j l + W P b x s M p v 3 E N z q 8 O R b 2 F 0 z + e J F B i 5 e O H 1 F j Z G B C w 4 d 9 T e 7 V b A n V r x o m 4 G 7 E B 4 g Y S v K w F 0 I t 6 9 0 e y k D v j G v L z D u W A L F B N T A o e M B k r g A H A t e X 8 E e z u S I Y I Z O i S y B k p S B Q 5 m X m V V i A j g c e H 1 F u P K 8 I k u P p U 8 4 M W X A s P L g S D w A G 7 z X V x J u O d q U o W g T S x + d C 6 F 6 X y D J S b X 8 g j 4 H 1 Y E N t q 2 U I r A h T V y h Q L / d + W x 9 P Z / O U I G T M 1 s t q 7 s A d W M 4 M X r W 1 y r 6 7 M U 5 I N T W a P r s z 9 9 / Q 3 G x 1 Z e m 9 k Z I V 0 b J / / p F Y 6 b S V g d 5 s z Q 7 Q z N / 0 8 z o m w X b a D q / Y U s t 9 Y O s N 6 Y N n U G z E d n Z Q P B t H a 6 R L X F F K 3 4 8 X z Y 3 x l J Z e Q M H V J N O 3 5 1 / 9 Y d R X z j K F g a j w t m V 1 N h u y l 2 N k B n e j L 2 C G f u W I 3 Y 3 i f R A l z C 8 + h m p M I Q e G M Z Z M s V n C H / c E m H h t / w H L c / + 2 K x + s d k D 3 W q F 3 z f 3 y 0 e n Q L T t 6 1 Q S s z W I n a p b u N A W r q 3 F l t O K V t C i R b O Y O l m R 0 l h s N S x c A E u u e Y X L X M m V r b h i V r H 6 V X z J q n i V K r E w l V e L K i w / R S p O + U W m v L p S u J R U U P u J l n s 6 u M r S B y 6 V x B U + k m s d w f J G s Y p G 0 S J G f D 0 i U M Y m U p o m W m 4 m u Y R M b 4 Q c t c W r d z a H M 0 R w i 9 r t 0 1 Z 0 8 b w L b D / t 9 c u C f h O 2 X + b 1 y 4 N + B d t v 4 v U r g 3 4 V 2 y / 3 + t V B v / Y Q w t d F c T O G h D 3 5 q S n 9 n u H c K H 5 y K r 9 n O D u K n 5 7 a 7 x n O j + I n a D 8 F F w m 5 W N y n G K G s u A N J Q q a J l G m 2 p y 9 m O p x L P W F 7 + o K m w 7 n U B d v T F z U d z q W u 2 J 6 + s O l w h j J + h n x p y 8 I Z y v g Z 8 q U t C 2 c o 4 2 f I l 7 Y s n K G M n y F f 2 r J w h j J + h v b S l v a k 2 Y E S z u b E H U q S t 0 k 4 m x P N 9 v T l b U L 0 2 o T t 6 c v b J J z N S c H 2 9 O V t E s 7 m p G J 7 + v I 2 C W c o 5 2 f I l 7 c 8 n K G c n y F f 3 v J w h n J + h n x 5 y 8 M Z y v k Z 8 u U t D 2 c o 5 2 e o k 7 f W a h D S 4 8 s Z 8 V O S 4 E e S t g t 5 2 u O p 2 c M M n p F s 7 G H 2 r b T M 6 m E y g k h 6 9 P B F V j T V + Z a I d P u l S z b u G Q f j / T j k o U I 4 S U A P F K G U F 5 o Z U H M D + u q h C I W / m D A D Z t y A v t Y o i D 1 U M A N O u A F 9 Z V K E S 6 W o m A F z b k B f x x Q h U 0 q O K Q U 3 o K 9 6 y p A p J c e U k h v Q 1 0 h l y J S S Y 0 r F D e g r q j J k S s k x p e Y G 9 P V X G T K l 5 J i i x t y I 3 Z f 9 k C F b K n a t 8 I v F X y 1 V y J i K Y 4 x i l 4 v y 1 0 s V s q b i W K P Y B a P 8 F V O F z K k 4 5 i h 2 y S h / z V T k c M G y h 1 0 0 u y 9 D M i o 7 G I T c r M f 7 4 Z D m w 7 m N n W N P y M t a M w N q b k C f k 3 X I y X r C D J h x A / p 8 r E M + 1 g U z 4 I Q b 0 O d i H X K x r p g B c 2 7 A 4 O h I z 4 4 c V w p u x O B M O S a H y j H H l 5 I b M j h s j s l p c 8 x x p u K G D E 6 h Y 3 I M H X O 8 q b k h g + P p m J x P x x x 3 1 J g b M 1 C B X c J b b 1 D F L h t + 3 Q T + E H r u V x y L F L t 2 A j W o q E t A c U x S 7 P o J F K G i 3 g L F s U m x a y h Q h Y o 6 E h T L K H Y d 9 W p y o I O B e B i U H u 9 H g h Y g k 3 1 r / 1 V 0 f h H H h N K a A a h l g N v c q R B o I A y d C 8 M D m j N A s y j Q g g M a C A t x a i h d M U A n U a A 1 B z Q Q p s 7 9 4 Q L N F A M 0 j w H N N A c 0 D 4 C S t Z Z N G K B F F G j O A Q 0 U e + c 6 8 Y C W D N A y C r T i g I Z + R r J c J t x y q W J A J 4 o D G m w O n S v F A 5 o x Q O s o 0 A k H N N g + i H N F T Q o G q B p H o Z Y c 1 H C D 6 R w x H t i a A x t R S N t 0 l x h s o J W I c 0 b l n F Z S U b W U s 2 o p 3 K R y o p d y T i + p q G L K W c U U b m P E u a N y T j O p q G r K W d U U b n Q F 0 U 0 F p 5 t U V D k V r H L q + w 7 1 f i r i a 1 C 9 s w E l W x Q S 7 O y / i p s h 8 U W o 3 h m B U i W K m Z + K k g M a C F 1 B l l h R M 0 C z G N D e M x F x 1 S r i g l C l Z o B O o k A z D m g g c C V Z X m X O A M 2 j Q A s O a L A Z E s + D 6 l 0 P K E e g D L T m g A a b Y U W W V q U Y o G U M a K U 5 o M F m S F w N q u K W S x U F m n N A g 8 2 w I t t + V T J A 6 y j Q i g M a b I b E W a D q M Q N U j W N Q a 8 V B D T f D m m z 8 d c a B j S i k b U Y 7 D D b Q S s R P o G p O K 6 m o W q p Z t R R u h j X R S z W n l 1 R M M e k x q 5 i C z V A T B 4 E e c 5 p J x V R T l w 4 O g w 0 i n u N Q N 3 V 5 3 i D Y m H L S Y 1 Y 5 q S B c S r w C X a 4 1 t w W J O Q d i q c l 5 X W / F I D 0 h k z s a i T d v p x k n S 5 L z I z 0 h I 5 K L E g l k b 4 / 5 O N W R n N 3 o i f m M X L T C B d J l L e I S F c m 5 i Z 6 Y j c h B C 1 w 1 0 A x a E x E t 9 H V g L i E X L b L A t m d + n C R I z g v 0 x E x A L l p k A W 6 9 A j j F j 5 z V 5 4 l 5 f N x L H 6 E B o T P F o F W K a K G v A 7 P w u G g R 5 Z B x y q E S 0 U J f B + b Q c d E K j R C d l Q x a t Y g W + j o w A 4 6 L F l H d W + 8 E k 9 o m k s 3 m i f l r H M S I B 0 N P M g 6 x i J J / i p b f p p 9 x E S O a f s J p e i W r e v h 5 Y P Y Y F z G i 6 y e c r l e y s o e f B y Z / c e 9 4 E W 2 f c 9 p e y e o e f h 6 Y u 8 V F j O j 7 n N P 3 S l b 4 8 P P A 1 C s u Y k T j 5 5 z G V 7 L K h 5 8 H Z k 5 x E C P + G F 1 w O l / J S h 9 + H p j 4 x E W M a P 2 C N Q l l t Q 8 / D 8 x b 4 i J G 9 H 7 B 6 X 0 l K 3 7 4 e W D a E R c x o v l L T v N r W f P D z w O z h r g X O 4 n m L z n N r 2 X N D z 8 P T P r h I k Y 0 f 8 n a + B E j / 2 m a v w w 0 f 0 k 0 f 8 l p f i 1 r f v h 5 Y M o N B z F y W U V X n O b X s u a H n w d m z H A R I 5 q / 4 j S / l j U / / D w w 4 Y W L G L 3 W z G l + L W t + + H l g v g r 3 0 j T R / D W n + b W s + e H n g e k m X M S I 5 q 8 5 z a 9 l z Q 8 / D 8 w W 4 S J G N H / N a X 4 t a 3 7 4 e W C y B x c x e g G e 0 / y Z r P n h 5 4 G 5 G g 5 N F O B c Q R + H O 0 b 3 h t 9 t E a 7 3 7 q W + 2 y L k V v c e P / I E 3 x 0 g V M L d O 3 v 3 9 U C 4 h L L A j d o 9 o P d b Z D I S w X s f R e g M v H n d 8 3 e / R f B U g f i M s q 3 l I T 5 l d w b Q h E 4 d 0 K k J n T o c g x C y V b T i e 3 N 3 A E K n D u j U h M 7 A w 5 E R D 0 e W K R m J F k f v L X T 8 + b P 7 4 J m 8 c e a e N Q c v m c H D Z f + t s v 8 8 G b 9 I t m + Q 8 b P j o x f f j X q 0 2 x n o X h 7 7 L + n a B 8 P 8 S z r 3 P f E + y 0 n / C F h 4 Y u e + E v Z 7 0 u d 8 L + X n f C + F 5 3 z 7 J 7 4 / L u e 3 9 t 1 j 9 8 h + 9 9 5 3 / 4 z X e e 5 r m 6 3 2 7 3 3 R 4 + B j m z D G T O b N 9 L a V L 6 M M F 7 N b O / W L h / u t l H x r P e + P / R f 7 0 8 v l v X 3 v P 5 3 P 2 z e a 9 q F n + z R 1 3 t x O b V W E R y t N V i f e L R d 2 M O e h Y / e O t x P J 3 c t N + 2 y z L b T S / D y b / / d / t Y I a S H A 4 z E / N / C 5 4 H P r 5 d h o v 6 c R f y h N / m f 6 O c v f D R f j D W f j D p Z Q b Z k 3 f e S a V J 9 + B S i z R u J / G / d s T 7 + f d o 5 E 9 n 6 e L 4 K 2 u / f Q f L Y j R Z t W 0 r z T m a / K Y 5 c f l q u u 8 M V t i / 6 R 2 Z X A k T e 1 g D 7 P N X Z v x Y W a 5 / g f S 5 l U / g B K + a f L t Z S t X V 4 1 R H N O N h T I 6 O T l x 8 l 3 g R z g 7 o t 3 Z A C R 7 L 2 w k g r 2 G k F y v h U c s 8 0 U H X + K E g v d A w V O a 7 g N / 4 X z b 8 Y L c w d x + Q D d S 9 s A S h b + F L 8 g + h 1 L i c h l S 0 N R 9 v + 0 8 r F 9 v t 8 r k O l G H V F k K C i v B W k r R 8 k l + x S R Y J C l a F 8 k v h Q S r H 0 U L H v k 1 j m B Z o 2 g l I 7 9 4 E a x X F C 1 R 5 F c l g o W I o r W H / H J D s M J Q t K i Q X 0 c I l g 6 K V g v a H m U S y / w E i e X C X H J u + j g v Y 9 y g J H E 0 L 9 x T c q J J O Y r S s h I d l o c o L f W Q k G 3 o q D d J t / Z s 9 3 d v / 5 4 b h o 7 + / M 4 m 8 7 l x D L l v p 6 0 t F r X i r E L a G 3 E x 8 + / 4 / f u n W G f n u 0 Z H T l a Z n 9 p 5 s S b g 4 7 S l 2 c H u 3 X x 6 3 f w 4 n T 8 0 z y I k H R 9 d T M 3 / / e 3 o e N t r t e v + Q / O 3 j T F E H d g s a M X C J k g e H 3 1 r O X c 0 C J 5 E g e K 5 Q t G 0 f E g 0 d d 1 m V 7 O 3 p I n A C X 0 Q K 1 S c F 1 G c W J S y Z A 7 p O I v S 0 Z D o 1 e m M y 1 r G x Q 4 f 7 f c T + F V g 1 u Q g Z u m U h c O j w 2 K T J / N p k r K U D s C g S M Y g t 3 N g x z b / P d 7 + I 8 S k 7 W t Q g Q f D I E P W a P 1 u P m u V u 9 k P r C E 2 s 9 r b 2 H p 3 r n K 7 t I 0 6 U Q E 4 F c I p t O 1 p L M d u C D t H X / x q t M 3 s f m Z + f G a J G P 3 7 w 3 L T X G 5 + N X C + X D 9 + 2 m b e A 4 O d K A 7 M i X a o 8 l N 5 O Y q q 9 d n 8 b I 4 q H R 2 2 X e 8 K E G f B L g M W I T / V G 4 O d 2 y x t n W b 8 O g 0 J F N G z m b N O e h f A y G a M s v / d K R B p j Z Y H r V G j N Y 7 2 H g d J r U Y Q S 5 q m S b o 6 K / m J 0 v 1 E t Q t q 0 C x V B 8 3 S x F n F k S n i U G I x q p N 1 i b G l x 8 e L h / m c 1 S B C 6 s K U Z I U p 6 Q l T E h K m p C C U k g 5 K a Q b 5 x I J p I p i n i 2 D d i q A 0 p 5 0 r o 3 c K p C a F P O o d e r v f U p N D h j 3 1 U W q S y C P H S 0 i g x n h F + u 7 h s j w 8 c 9 I m k h l i u e v 2 6 r 0 h s Y S S X i / H L y K Z n 7 w 5 L k t P 1 K Q J 3 b g C D r w N D N C N W j I 8 Y N G i H n A 2 s A G m 9 x S Q 9 Q u 8 W f 7 i c F m g m T e y I 1 g m T T z n L B c Q 4 m 1 b g H s S E + J I i K Q O s P l t P O + 9 D H T H n P 1 i E u a C t 6 w j G C c x J y V G R F B K N 7 V t K D O F P S l o i O Q K x h 5 A f 8 c g M V D T s s j V X J 3 G C 6 I 3 l / t E U j e z x 5 N 9 K y + k c / H A t P L i P G f u S 8 y u n c C F w 4 x L G 2 a P W i z / D O G m R M Y P M F 9 1 u W X 8 A P I M e 0 8 s M 5 z P F s j C 4 3 M a 8 U Y G I k M N i C 0 Y U R E G g 4 F X 8 + P J Y t U 1 Y A J 5 X + / / 8 p u 5 o a z + 3 5 J w H m b T q 0 l c a 3 3 t Y b x H h s c l 3 Z q 3 F y V i 6 m o w / G y c D r + O L s 7 0 y J G A U b r f 0 1 4 M i a m L j 8 H A D 6 T L B p y D s s 5 p w c 7 9 p W / d R z h x E f y 0 7 c S w 5 8 I / A / D M O g s 3 z w H M e 0 1 / d U g Z x N T X 7 E e H z j S e v 6 a / O p O Q q r x f Q x k R 1 u u B j v m E k x E X o x a Q S X f J Z w k + + T g C I o n F g C U T e O N p V P 5 V g E L y N S m P P 8 E 9 q Q j 6 9 M q U 3 a S P 4 T 2 p f Y g p I c 4 j B x b i b s 2 I P 4 9 6 W p A P B X l H s N 8 D e z Q 4 n w X n l e D 9 D u R A T A 5 h w O Q H 9 j 0 w 5 q H l L t m O k j E o 2 X a + h e Z a H 0 O v l L h + g l D 5 u x r e V + J Y L Y s a F u t M T g f S N f j x 7 s E / 7 d 2 D 4 4 9 3 / H 7 P d / w + 3 j r 7 3 d 4 6 k w t s x k p q S k U 0 x b K Z / x q 3 3 Q T L l 3 d L R + 3 D q C H + 2 + 9 y A m H p t z e y h O s b / 6 u k p P u m b d 6 K N G f L h 7 A K E s 8 z 5 Y D z z N a P / Q Q 7 5 T V u 9 c 1 z 8 T R 6 o O O 5 T L g n 9 l t Z P Q I 1 v K c S E B 6 / Y v b b U 9 A / v F n b 2 T b s W z b u F c 8 v l / d X s 4 U k N 5 U 9 d A Z b 9 W t h + 3 w t b G m v h W 3 G U d z / O N 6 i t d r h F 7 v G 9 O 1 y 0 X x 6 v B v D V k y T J 0 A J M 4 B n z E w C N F C g x Q F N C G g T w E 0 e 7 t p w O 6 T 7 2 8 F z 1 w 2 1 j k y c H j p x 1 v M Y t + K i J l r U / o o a V 1 H L K W o W R W 0 P 2 b A 4 m D N 0 2 C N e Q f H h C 4 a f B q b 5 n 6 S l n F X V i 9 w a 0 5 u 6 c V U D N q 7 t J Z 5 B L x D O J J N N u C X L B 1 8 i 5 C T a B h E b U g R S p 8 + Z z V V l 7 9 4 d c C h 7 R X 4 + O r z M 8 t F L 2 2 L U b K 6 3 Q e w 0 l 8 N 3 6 O P R r m h y u t / q e U L Y S x C G A / 3 o y V G 5 / 9 k T V b J 7 W g n u a T B H v y u X 9 E f 3 c Z r 7 O G F l H f 9 L + 4 0 j S z Q 8 p c a W r H u K l Z a v d 8 I V v S N P 9 F f z Z 7 n j D + G Q d v Q + q 8 + P P / q W P / q W U 3 z L w C T Z n x e T r N K Y R d h v j d / P 3 r Z b 4 d p m + m n c A v a X 5 p e 4 6 6 6 7 Z + H L 6 m u 7 h Z 6 c N + v r T q A l k 4 O / a k M w i x k Z g 6 V p C F c 6 E n o C Z u u E B 5 q A 2 O P R + H j U U j H C Z I z e H 7 w n C i i O o j e a P I L M 8 O 0 J q U 0 E A 8 9 I o 0 M P S f 7 T I s f g Z N 5 O Y W L a 9 5 6 i q e O + h v p k t m C g / 9 s n n 6 z f T I 3 S G L 0 8 / / 7 x 2 y 8 M N v N m 0 z a 2 u X j M n 1 + u H 0 / O l 9 c P 9 7 Y s 7 F e z 1 g u w a P f R Z 0 e n N p X O + n T z t r m 6 a t T p N 7 O r 1 X T 1 6 + m X c 7 M n X W 6 W q + l t c / p 6 0 Z y v Z o / N Z 1 8 Z z b S y l q A h 4 n l j j w z r 5 n K 3 v 9 3 O z A + L Z r H 7 w Y r + 5 e b k 6 4 e r Z r V 5 W J 8 + N x 9 X Z j F / N n r x g w H / y + z u r r F J f k 5 f L I y S M M 0 f 2 2 3 k V I 9 1 f n q 9 f u y E 2 j B o c b o z V e 0 / z 7 / / 8 d s v b J s T 0 8 Y c q U f / 2 R / F D a n t Y X x r + Z o / S 5 0 d j / 6 0 u F 6 2 6 X / + O C r y 8 V j 9 p W f k 1 8 3 U 0 t A + e D a s M U u r 3 Z E f m + n D n q n f r Z b 3 5 n C / b f v M z q k B u v 3 1 b D 6 / v J 7 O D b / + u F k 9 N H 9 h Z C Q q I h I m R l D f h z v r i 8 W m m J z Y 3 u 0 B y 9 d d r d z Y T X Y z u + + + B x s v b R C k R A q G d 4 4 K / k O + s 7 k 5 n D b N 4 n P y 5 c f 2 o Y h T q Z d r Y m + C z I 1 F u D 3 K M k 2 m e 5 M 9 r Z V R g Z v p b L 4 W W q + N K U 8 / d x v g S M S c t u H B f b E t W i y P 2 L f a m c 4 J T R J g 7 q z q h C Y J o + 2 t 8 a R G / I i v + p x 7 8 j S j Z t K o z v F A H P h y e x 6 l X x w D n f m 4 P S j Q r / 0 p g H 7 a H S R E e J 1 V j u S V X v T 2 W 9 A z u / / 9 T 7 b i 9 3 x 6 s 2 r W 5 J u x D q T P h y e G Q C s m l t j A 7 3 O + b F o / 2 G I 6 X W + C I 0 L 7 + / K 2 x W Z n 4 F h H 1 O d U e U W e 5 g c w Z 7 Y 2 u x m 8 c Y 3 N b v j b x u 7 R x l 4 Y W Y l c t o e j H S 0 3 7 V 3 D t S h 1 z N N v w M u W z m t j p R q 5 m b Y 5 7 g I s + / u N W 2 u 9 h 8 o 3 f d y q P b 4 F K K 8 u Q N 7 R k d g 6 O L k z 7 d p J Y Z l D 8 / T R 7 / x 7 L N i W n L E D 4 Y n l 8 6 O D o u R + d N C z C B 1 C 3 j / a d h C C l x H I w o s 2 2 n Y I 5 B c R m v 1 H V 2 T K X g y Y E v 9 l F h h q G N 5 n 8 m D 0 d j 7 N 7 4 q 7 J V 2 T D 7 r u E n p S W 6 z P 7 M l N b r / M u s p I / N h / p S k b 3 M y / a e N r Y f x M G n + S N n 4 m j J 9 L 4 x d p 4 0 + E 8 U t p / C p t / F w Y v 5 b G b z P v J g A o J A a L H F a J L C 4 l C C K P V S K T K w m C y G W V y O Z a g i D y W S U y u u U X 1 m f B y 5 s k v Z H 6 k I U l q h c u e w I k i x s L 1 8 U Q 7 a G V C A E L F 4 E g 6 Q + d i R C w c B E I k g b R u Q g B C x e B I O k Q X Y o Q s H A R C J I W 0 S K n s 0 R O S 2 o k E z m d J X J a U i O Z y O k s k d O S G s l E T m e J n J b U S C Z y O k v k N K d G 0 q r 8 4 o 6 J r 9 l Y w s R 9 a o I F D N Y E 5 i B M x H 1 q g g U M F g B m I c i 2 C B Y w W O 2 X h S D u U x M s Y L C 0 L w t B 3 K c m W M B g H V 8 W g s j p P J H T k i r J R U 7 n i Z y W V E k u c j p P 5 L S k S n K R 0 3 k i p y V V k o u c z h M 5 j V Q J T h f A n N O d s C V w X 8 C I r t 8 u G t 7 1 m 6 f H e i m Y S O D X 7 y B E g b m G J C T s N x w a 0 Q v Y 0 k 7 o b L H e r B 6 u N 8 3 D S g b W t r 6 Z r W a 2 N E J C 0 8 3 0 / m r Z r K w D 0 L A i o Q O I W 0 c Z 6 4 a F 0 9 n K 9 4 q G t w W W p j T T U r N h U f A o M 3 l A H i t j 7 U I + 8 s 2 7 9 / m S z 8 / 1 P a C + N B N B a F u 0 z / d F E P Q q U A h J T G Z A A L 6 4 i A F 8 4 G m C G R A o i L M I C M 9 i I k C Y / A k U z C H e p P S c C + y + I u 7 v B d j f W 5 i k O r V v 5 Q b C F r X 2 C t E G K I A N Q L H Q S V h I F m E h 2 g k F s B M o F v T U g r C Q r M Z C 9 m E B W 4 J i M U n C Q r I s C 9 H e K I C 9 Q b G g 5 y u E h W R 9 F q J 0 l k n S W S R h I V m o p S i d Z Z J 0 0 p M g w k K y Y k t R O s s k 6 a y S s J A s 3 V K U z j J J O q l 3 A m E h W c O l K J 1 l k n T u v a m y 2 g I m 8 x 4 P U T 6 r N O 2 Z q D 4 l / V m J E l o l S a h K U 6 B K 0 q C V K K N V k o y q N B W q J B 1 a i V J a J U m p S l O i S t K i l R w v S J P T N D W q g B 6 V r K k E 4 2 J o M i Z 2 F s R V U q N V Y k F H b Q z P 2 o z a G L W 4 R m q 0 R g g W a I l Q L K Q V U o s r p E Y r h G C B F g j F Q l o f t b g + a r Q + C B Z o e V A s p N V R i 6 u j R q u D Y I E W B 8 V C D L l F Y m 5 J 4 o m M D I q G G J g b y 5 G 5 c Z K A I j O D 4 i G G 7 8 Z y / G 6 c J K L I 0 K B 4 i E G + s R z l G y c J K T I 1 K B 5 i K H A s x w L H S W I K j Q 2 g v y R j Q 4 1 l S U X h Y Y A J F T O I C W 3 m x J B l U U V R Z I A I 1 w r Y G y w i s q y i Y D N A h A 4 C E a H N H E R k Y U U x a Y A I h y 6 w O F h E Z G l F o W u A C K U G I o K a A a 9 K i h / j y c F t J S 8 O F N 5 u o c Y 9 G W 0 j e z f t b j N q H 3 U s m 5 8 N m s x 4 A + 7 a 6 M h d D G i 2 k 6 L b A 1 A 2 Y y J Z p 2 h L F o w C U X Y P b U 4 q 4 n 4 S H m 1 o s Q + K 6 y s t r w w U d 6 d o w z M B j z a V S Y S 2 Z C M p E K 1 3 0 c 6 Q O i d o w y M E i z Y K 3 w O 0 J a N K Z b J m R v F 7 i j b H d Q Z t T v C o E c Z p T x D 0 9 7 C m I g S w 5 h t B r D m 5 o y Y b i 7 W s + l A 4 n m L N i z / C G o T n E d Z 0 0 D 3 W I I b v Y c 1 p K m z f p W H N S R 0 1 B 1 m s 5 Y 0 e B f X B N s N z B K L N S R Q w H l m 8 K S s 8 v P m J j N m O P N 7 o d g D C W z I 1 5 d s B C l 0 P A H j z r S D e a Z u k a J m C W w U e 3 k m b J L R M B b z T d k n R k J X v G S h 0 0 Q D g z W t 3 i H f a N i n a v S B S 5 d 0 J T d o m W Y M W 4 4 3 j U h R v O O p h t 7 e G p C J n 9 2 Y 5 z q V w o O s s x V Q + S z e V B 9 0 G U 3 J Q T O G o W I g y N J U Z l M 2 Y U O s O u m K m Q J z M Q x s K f o g 2 N J V Z t H F Q b N C 9 N S U H v B S O e I V o Q 1 O Z R x u q u k G X 4 R S I g X l o c + s Q m 8 q k E U S b E z x q K n O a S 4 5 l K R z M C r H m 5 R 9 i z c l d u q U M Y l v e D X m o b 0 O s u R W G s c Z h L H g T k M V a 1 n w 4 Q B V i z T M E Y s 0 J V L q l D O J V H t b 8 N M Y s Z R 5 r j s h 0 S 1 m O + i g Y 9 q G 7 D N 8 K o Q 1 i P H C r k S x l E A n y 8 O Y U V Y K l z O P N C d 4 A S 1 m O 6 S g Y 1 K F 4 8 6 o d 4 p 2 2 R 4 q W M o j z e H g n 7 Z H Y U u b w 1 j C o A / A W L G U t x 2 s 0 j N d Q v H m N A / F O 2 y U l S 1 m D A I 6 H d 9 I u y d q 0 D N 5 p 2 y T y o g / I I M g + h 5 F D O B q E c J y + o h r T k i r R c p x E g 2 V x Q A 5 I f w A / 9 a / / D W X E 9 V v E M r 8 y s C g d K M 9 u O i j a 2 k t a L I O i L W L Z a B l Q d J 2 g n M D p o G h r L 9 2 y D I q 2 i G X I Z U D R l Y j y F 6 e D o q 2 9 R N E y K N o i l r W X A U V X M K o l k A 4 K m D + v n H e b + 2 x k o 2 f + m R 1 c / h 6 U C 5 d / W i m a r h p t J C 3 c 2 K H 9 l f f g r M c F H c e D t o a Q / Y S N n t 3 b D B m G y N F d 8 / B 3 M z H 3 y 9 t m P n t 7 h 2 7 / 9 0 S J N o t G Y V N K F D j W c 0 S B w / q B R B n k h I O G B n F W j z B g 1 F D C w M G f I w w c 5 w 8 m D I R K 9 4 T J M U u N Y p a U M O A a 4 A g D B / 7 D C Z P M O T m q q V F U k x I G 4 m w c Y e i 6 3 s G E C S d 1 L c c 9 N Y p 7 U s L A / S a O M H D J 6 X D C h A O m l i O j G k V G K W H g w h R H G L g 1 d T B h I M T q E C a r e h Q 7 p Y S B G 1 g c Y e A a 1 u G E C a 4 u L Y d X N Q q v U s L A l S 6 O M H C v 6 3 D C p E O C H I H V K A I L N m d w R 4 z d n d G b 8 E N J A 8 H c P W l y m F a j M C 0 g j V u L i L R o 2 w G U S Q d h O Z S r U S g X U M Z t e I i y a N s B l E n W h x z s 1 S j Y C y j j O I s o i 7 Z N p w x E j Z 3 k H L L 5 g c L B g D J O g S L K o m 0 H U C b Z H 3 L A W K O A M a C M a 4 U o i 7 Y d Q J l k g M g h Z Y 1 C y o A y b j U i y q J t B 1 A m W S B y 0 F m j o D O g j N v 1 E G X R t u m U g e i 1 Q 5 l s g q A Q M a C M 4 y y i L N p 2 A G W S D Q J C x R 5 l S T Y I e 3 5 D l E X b D q B M M k L k x 5 I a B Y b B Y Z p r h U 7 T 0 b b p l I G Q s 5 M w S b Z B U O w Y U D b A B o m 3 H U C Z Z I P I z y k 1 C i 8 D y g b Y I P G 2 A y i T b B A Q t / Y o S 7 J B 0 H V l l r I P a I O A 6 P a e M v m x p U Z h a k D Z A B s k 3 n Y A Z Z I N A u L f H m V J N g j r K U G U f U A b B E T J H c p k G w S F u w F l A 2 y Q e N s B l E k 2 C I i j u 5 S h i D i g b I A N E m + b T h m I t T u U y T Y I i p k D y g b Y I P G 2 A y i T b B A Q i / c o S 7 J B 0 O M C l r I P a I O A e L 1 D m W i D Z C j u D v z e A 2 y Q e N t k y j I Q 0 f f r T I F v + 6 p S / k e n h J T / w a 0 Z x c K K 1 o g K p j i S d 1 o u j y U 0 B s W x c G t U H g u 3 h P W x Q k 9 W W / b Y r V k F a h z H L 8 s e X j y Z z X s I b n V 4 8 i 3 s r p l 8 8 S I D F y + c v q L G y M A F h 4 7 6 m 9 0 q 2 B M r X r T N w F 0 I D 5 C w F W X g L o T b V 7 q 9 l A H f m N c X G H c s g W I C a u D Q 8 Q B J X A C O B a + v Y A 9 n c k Q w Q 6 d E l k B J y s C h z M v M K j E B H A 6 8 v i J c e V 6 R p c f S J 5 y Y M m B Y e X A k H o A N 3 u s r C b c c b c p Q t I m l j 8 6 F U M M v k O S k i n 5 B n 4 O q w Q b b V k o p 2 J A m r l y g 3 + 5 8 t r 6 e T 2 e o w M m Z r Z n V X Y C 6 M Z w Y P e t r F X 3 2 4 h w Q a m s 0 f f b n 7 7 + h u N j q S 1 N 7 I 6 Q r o + R / / a I x U 2 m r g 7 x Z m p 2 h m b 9 p Z v T N g m 0 0 n d + w p Z b 6 Q d Y b 0 4 b O o N m I 7 G w g + L Y U 1 8 h W u a I V P 5 4 v m x t j q a y 8 g Q O q S a f v z r / 6 w 6 g v H D X q S m d R + e y q a m z 3 5 a 5 M y A z v x 1 7 N j H 3 L E b u h R H q g e x h e C Y 1 U G E I P D O M s m e I z h D 9 u i b D w W / 6 D 1 m l / b F a / 2 A S C b t n C 7 5 v 7 5 a N T K d r 2 d Y q J 2 W L E T u E t X G s L l 9 d i K 2 p F i 2 j R u l l M q a x I d S y 2 I B a u g S W X v c K V r u T i V l w 9 q 1 g J K 7 5 q V b x Q l V i b y i t H F V a g I k W n / D p T X m k p X E 0 q K P 9 E K z 4 d X G j p A 1 d L 4 m o f y e W O Y I W j W F G j a B 0 j v i Q R q G Q T q U 4 T r T i T X E W m t 0 O O 2 i r W O 7 P D G S K 4 S O 3 2 a Y u 6 e A 4 G t p / 2 + m V B v w n b L / P 6 5 U G / g u 0 3 8 f q V Q b + K 7 Z d 7 / e q g X 3 s O 4 U u j u E l D w p 7 8 1 J R + z 3 B u F D 8 5 l d 8 z n B 3 F T 0 / t 9 w z n R / E T t J + C i 4 R 0 L O 5 r j F B W 3 I E k I d N E y j T b 0 x c z H c 6 l n r A 9 f U H T 4 V z q g u 3 p i 5 o O 5 1 J X b E 9 f 2 H Q 4 Q x k / Q 7 6 0 Z e E M Z f w M + d K W h T O U 8 T P k S 1 s W z l D G z 5 A v b V k 4 Q x k / Q 3 t p S 3 v V 7 E A J Z 3 P i D i X J 2 y S c z Y l m e / r y N i F 6 b c L 2 9 O V t E s 7 m p G B 7 + v I 2 C W d z U r E 9 f X m b h D O U 8 z P k y 1 s e z l D O z 5 A v b 3 k 4 Q z k / Q 7 6 8 5 e E M 5 f w M + f K W h z O U 8 z P U y V t r N Q g Z 8 u W k + C l 5 8 C N 5 2 4 V U 7 f H s 7 G E S z 0 h C 9 j A B V 1 p y 9 T A f Q S R D e v g o K 5 r t f E t E u v 3 S 5 R v 3 j I P x f h z y V i G c J K A H i l D K C 8 0 M q L k B f f V Q h M J f T J g B M 2 5 A X 2 s U x B 4 q m A E n 3 I C + M i n C p V J U z I A 5 N 6 C v Y 4 q Q K S X H l I I b 0 F c 9 Z c i U k m N K y Q 3 o a 6 Q y Z E r J M a X i B v Q V V R k y p e S Y U n M D + v q r D J l S c k x R Y 2 7 E 7 s t + y J A t F b t W + M X i r 5 Y q Z E z F M U a x y 0 X 5 6 6 U K W V N x r F H s g l H + i q l C 5 l Q c c x S 7 Z J S / Z i p y u G D Z w y 6 a 3 Z c h S Z U d D E J u 1 u P 9 c E j z 4 f T G z r E n 5 G W t m Q E 1 N 6 D P y T r k Z D 1 h B s y 4 A X 0 + 1 i E f 6 4 I Z c M I N 6 H O x D r l Y V 8 y A O T d g c H S k Z 0 e O K w U 3 Y n C m H J N D 5 Z j j S 8 k N G R w 2 x + S 0 O e Y 4 U 3 F D B q f Q M T m G j j n e 1 N y Q w f F 0 T M 6 n Y 4 4 7 a s y N G a j A L u e t N 6 h i l w 2 / b g J / C D 3 3 K 4 5 F i l 0 7 g R p U 1 C W g O C Y p d v 0 E i l B R b 4 H i 2 K T Y N R S o Q k U d C Y p l F L u O e j U 5 0 M F A P A x K j / c j Q Q u Q S c C 1 / y o 6 v 4 h j Q m n N A N Q y w G 3 6 V A g 0 E I b O h e E B z R m g W R R o w Q E N h I U 4 N Z S u G K C T K N C a A x o I U + f + c I F m i g G a x 4 B m m g O a B 0 D J W s s m D N A i C j T n g A a K v X O d e E B L B m g Z B V p x Q E M / I 1 k u E 2 6 5 V D G g E 8 U B D T a H z p X i A c 0 Y o H U U 6 I Q D G m w f x L m i J g U D V I 2 j U E s O a r j B d I 4 Y D 2 z N g Y 0 o p G 3 G S w w 2 0 E r E O a N y T i u p q F r K W b U U b l I 5 0 U s 5 p 5 d U V D H l r G I K t z H i 3 F E 5 p 5 l U V D X l r G o K N 7 q C 6 K a C 0 0 0 q q p w K V j n 1 f Y d 6 P x X x N a j e 2 Y D y L Q o 5 d v Z f x c 2 Q + C J U 7 4 x A 2 R L F 5 E 9 F y Q E N h K 4 g S 6 y o G a B Z D G j v m Y i 4 a h V x Q a h S M 0 A n U a A Z B z Q Q u J I s r z J n g O Z R o A U H N N g M i e d B 9 a 4 H l C Z Q B l p z Q I P N s C J L q 1 I M 0 D I G t N I c 0 G A z J K 4 G V X H L p Y o C z T m g w W Z Y k W 2 / K h m g d R R o x Q E N N k P i L F D 1 m A G q x j G o t e K g h p t h T T b + O u P A R h T S N q k d B h t o J e I n U D W n l V R U L d W s W g o 3 w 5 r o p Z r T S y q m m P S Y V U z B Z q i J g 0 C P O c 2 k Y q q p y w i H w Q Y R z 3 G o m 7 p U b x B s T D n p M a u c V B A u J V 6 B L t 2 a 2 4 L E n A O x 1 O S 8 r r d i k J 6 T y R 2 N x J u 3 0 4 z z J c k p k p 6 Q F M l F i Q S y t 8 d 8 n O 1 I T n D 0 x J R G L l r h A u k S F 3 G 5 i u T 0 R E 9 M S O S g B a 4 a a A a t i Y g W + j o w n Z C L F l l g 2 z M / z h M k p w Z 6 Y j I g F y 2 y A L d e A Z z l R 0 7 s 8 8 R U P u 6 l j 9 C A 0 J l i 0 C p F t N D X g Y l 4 X L S I c s g 4 5 V C J a K G v A 9 P o u G i F R o j O S g a t W k Q L f R 2 Y B M d F i 6 j u r X e C y W 4 T S W j z x B Q 2 D m L E g 6 E n G Y d Y R M k / R c t v M 9 C 4 i B F N P + E 0 v Z J V P f w 8 M I G M i x j R 9 R N O 1 y t Z 2 c P P A / O / u H e 8 i L b P O W 2 v Z H U P P w 9 M 3 + I i R v R 9 z u l 7 J S t 8 + H l g 9 h U X M a L x c 0 7 j K 1 n l w 8 8 D k 6 c 4 i B F / j C 4 4 n a 9 k p Q 8 / D 8 x 9 4 i J G t H 7 B m o S y 2 o e f B 6 Y u c R E j e r / g 9 L 6 S F T / 8 P D D z i I s Y 0 f w l p / m 1 r P n h 5 4 G J Q 9 y L n U T z l 5 z m 1 7 L m h 5 8 H 5 v 1 w E S O a v 2 R t / I i R / z T N X w a a v y S a v + Q 0 v 5 Y 1 P / w 8 M O u G g x i 5 r K I r T v N r W f P D z w O T Z r i I E c 1 f c Z p f y 5 o f f h 6 Y 8 8 J F j F 5 r 5 j S / l j U / / D w w Z Y V 7 a Z p o / p r T / F r W / P D z w I w T L m J E 8 9 e c 5 t e y 5 o e f B y a M c B E j m r / m N L + W N T / 8 P D D f g 4 s Y v Q D P a f 5 M 1 v z w 8 8 B 0 D Y f m C n C u o I / D H a N 7 x u + 2 C N d 7 9 1 j f b R F y q 3 u S H 3 m F 7 w 4 Q K u H u q b 3 7 e i B c Q l n g R u 3 e 0 P s t M h m J 4 L 2 P I n Q G 3 r z u B b z f I n i q Q H x G 2 d b y E F + z O w N o Q q c O 6 N S E T h 2 O Q Q j Z K l r x y b k 7 A K F T B 3 R q Q m f g 4 c i I h y P L l I x E i 6 P 3 H D r + A t p 9 8 0 y e O X M v m 4 P H z O D t s v 9 c 2 X + h j B 8 l 2 2 f I 7 M v j o x f f j X r M 2 0 n o H h / 7 j + n a N 8 P 8 Y z r 3 S f E + 1 0 n / D l h 4 Z e c + F P Z 7 0 h d 9 L + U X f S + F F 3 3 7 V 7 4 / L u e 3 9 u l j 9 9 R + 9 + R 3 / 5 L X e f F r m 6 3 2 T 3 7 R + + B j m z b G z O f N 9 L Y V M a M P F 7 N b O / u L h / u t o H x r n e + P / R f 7 0 8 v l v X 3 1 P 5 3 P 2 2 e a 9 q 1 n + z p 1 3 t x O b W 2 E R y t Q V i 3 e L R d 2 M O e t Y / e U t 5 P K 3 e N N + 3 K z L b f S / D y b / / d / t b I a C H E 4 z E / N / C 5 4 H / r 5 d h o v 6 c R f y h N / m f 6 U c v f D R f j D W f j D p Z Q h Z k 2 f e i Y V K d + B S i z U u J / G / f M T 7 + f d u 5 E 9 n 6 e L 4 L m u / f Q f L Y j R Z t W 0 D z X m a / K e 5 c f l q u u 8 M b t i / 6 p 2 Z X A k T e 1 g D 7 P N X Z v 3 Y W a 5 / g f S 5 l U / g B K + a f L t Z S t X V 4 3 R H d O N h T I 6 O T l x s l 7 g d z g 7 o t 3 Z A C R 7 j 2 w k g r 2 G k F y v h U c s 8 0 U H X + K E g i d B w W u a 7 g N / 5 3 z b 8 Y J c w 9 x + Q J d S 9 s A S h b + F L 8 g + h 1 L i c h l S 1 t R 9 w u 2 8 r V 9 v d 8 v k a l G H 1 F o K y i v B i k r R I k p + 3 S R Y K i l a H c k v i A R r I E X L H v m V j m B x o 2 g 9 I 7 + E E a x a F C 1 U 5 N c m g u W I o h W I / K J D s M 5 Q t L S Q X 0 0 I F h C K 1 g z a n m Y S i / 0 E 6 e X C j H J u E j k v b 9 y g V H E 0 O 9 x T M q N J m Y r S c h M d l o 0 o L Q G R k H P o q L d K t y Z t 9 3 d v A p 8 b h o 7 + / M 6 m 9 L l x D L l v p 6 0 t F r X i r E L a G 3 E x 8 + / 4 / f u n W G f n u 0 Z H T m K Z n 9 p 5 s S b g 4 7 S l 2 c H u 3 X x 6 3 f w 4 n T 8 0 z y I k H R 9 d T M 3 / / e 3 o e N t r t e v + Q / O 3 j T F E H d g s a M X C J k g e H 3 1 r O X c 0 C J 5 E g e K 5 Q t G 0 f E g 0 d d 1 m V 7 O 3 p I n A C X 0 Q K 1 S c F 1 G c W J S y Z A 7 p O I v S 0 Z D o 1 e m M y 1 r G x Q 4 f 7 f c T + F V g 1 u Q g Z u m U h c O j w 2 K T J / N p k r K U D s C g S M Y g t 3 N g x z b / P d 7 + I 8 S k 7 W t Q g Q f D I E n W a P 1 u P m u V u 9 k P r C E 2 s 9 r b 2 H p 3 r n K 7 t I 0 6 U Q E 4 F c I p t O 1 p L M d u C D t H X / x q t M 3 s f m Z + f G a J G P 3 7 w 3 L T X G 5 + N X C + X D 9 + 2 u b f A 4 O d K A 7 M i X a o 8 r N 5 O Y q q d d v 8 b I 4 q H R 2 2 X e 8 K E G f B L g M W I T / b G 4 O d 2 y x t n W b 8 O g 0 J F N G z y b N O e h f A y C a N s v / d K R B p j Z Y H r V G j N Y 7 2 H g d J r U Y Q S 5 q m S b o 6 K / m J 0 v 1 E t Q t q 0 C x V B 8 3 S x F n F k S n i U G I x q p N 1 i b G l x 8 e L h / m c 1 S B C 9 s K U f I U p G Q p T c h K m Z C G U 8 g 5 K m Q b 5 3 I J p I p i n i 2 D d i q A 0 p 5 0 r o 3 c K p O a F P O o d e r v f U v N D h j 3 1 U W q e y C P H S 0 i g x n h F + u 7 h s j w 8 c z I n k h l i u e v 2 6 r 0 h s Z y S X i / H L y K Z n 7 w 5 L k t P 1 K Q J 3 b g C D r w N D N C N W j I 8 Y N G i H n A 2 s D G m 9 x S Q 9 Q u 8 W f 7 i c F m g m T e y I 1 g m T T z n L B c Q 4 m 1 b g H s S E + J I i K Q O s P l t S O + 9 D H T H n P 1 i E u a C t 6 w j G C c x J y V G R F B K N 7 V t N D O F P S l o i O Q K x h 5 A f 8 c g M V D T s s j V X J 3 G C 6 I 3 l / t c U j e z x 5 N 9 K y + k c / H A t P L i P G f u Y 8 y u n c C F w 4 x L G 2 m P W i z / D O G m R M Y P M F 9 1 u W X 8 A P I M e 0 8 s M 5 z P F s j C 4 3 M a 8 U Y G I k M N i C 0 Y U R E G g 4 F X 8 + P J Y t U 1 Y A J 5 X + / / 8 p u 5 o a z + 3 5 J w H m b T q 0 l c a 3 3 t Y b x H h s c l 3 Z q 3 d y V i 6 m o w / G y c D r + O L s 7 0 y J G A U b r f 0 9 4 N i a m L j 8 H A D 6 T L B p y D s s 5 p w c 7 9 p W / d R z h x E f y 0 7 c S w 5 8 I / A / D M O g s 3 z w H M e 0 1 / d U g Z x N T X 7 E e H z j S e v 6 a / O p O Q q r x f Q x k R 1 u u B j v m E k x E X o x a Q S X f J Z w k + + T g C I o n F g C U T e O N p V P 5 V g E L y N S m P P 8 E 9 q Q j 6 9 M q U 3 a S P 4 T 2 p f Y g p I c 4 j B x b i b s 2 I P 4 9 6 W p A P B X l H s N 8 D e z Q 4 n w X n l e D 9 D u R A T A 5 h w O Q H 9 j 0 w 5 q H l L t m O k j E o 2 X a + h e Z a H 0 O v l L h + g l D 5 u x r e V + J Y L Y s a F u t M T g f S N f j x 7 s E / 7 d 2 D 4 4 9 3 / H 7 P d / w + 3 j r 7 3 d 4 6 k 8 t s x g p r S q U 0 x e K Z / x q 3 3 Q T L l 3 d L R + 3 D q C H + 2 + 9 y A m H p t z e y h O s b / 6 u k p P u m b e q K N G f L h 7 A K E s 8 z 5 Y D z z N a P / Q Q 7 5 T V u 9 c 1 z 8 T R 6 o O O 5 T L g n 9 l t Z P Q I 1 v K c S E B 6 / Y v b b U 9 A / v F n b 2 T b s W z b u F c 8 v l / d X s 4 U k N 5 U 9 d A Z b 9 W t h + 3 w t b G m v h W 3 G U d z / O N 6 i t d r h F 7 v G 9 O 1 y 0 X x 6 v B v D F k 2 T J 0 A J M 4 B n z E w C N F C g x Q F N C G g T w E 0 e 7 t p w O 6 T 7 2 8 F z 1 w 2 1 j k y c H j p x 1 v M Y t + K i J l r U / o o a V 1 H L K W o W R W 0 P 2 b A 4 m D N 0 2 C N e Q f H h C 4 a f B q b 5 n 6 S l n F X V i 9 w a 0 5 u 6 c V U D N q 7 t J Z 5 B L x D O J J N N u C X L B 1 8 i 5 C T a B h E b U g R S p 8 + Z T V d l 7 9 4 d c C h 7 R X 4 + O r z Y 8 t F L 2 2 L U b K 6 3 Q e w 0 l 8 N 3 6 O P R r n R y u t / q e U L Y S x C G A / 3 o y V G 5 / 9 k T V b J 7 W g n u a T B H v y u X 9 E f 3 c Z r 7 O G F l H f 9 L + 4 0 j S z Q 8 p c a W r H u K l Z a v d 8 I V v S N P 9 F f z Z 7 n j D + G Q d v Q + q 8 + P P / q W P / q W U 3 z L w C T Z n x e T r N K Y R d h v j d / P 3 r Z b 4 d o m + 2 n c G v a X 5 p e 4 6 6 6 7 Z + H L 6 m u 7 h Z 6 c N + v r T q A l k 4 O / a k M w i x k Z g 6 V p C F c 6 E n o C Z u u E B 5 q A 2 O P R + H j U U j H C Z I z e H 7 w n C i i O o j e a P I L M 8 O 0 J q c 0 F A 8 9 I o 0 M P S f 7 T I s f g Z N 5 O Y W L a 9 5 6 i q e O + h v p k t m C g / 9 s n n 6 z f T I 3 S G H 1 z Y T C Z N 5 v / 0 7 a 0 u X j M 3 1 + u H 0 / O l 9 c P 9 7 Y s 7 F e z 1 g W w a D f R Z 0 e n N p X O + n T z t r m 6 a t T p N 7 O r 1 X T 1 6 + m X c 7 M h X W 6 W q + l t c / p 6 0 Z y v Z o / N Z 1 8 Z t b S y Z q C h 4 H l j z w v r 5 n K 3 u d 3 O z A + L Z r H 7 w c r 9 5 e b k 6 4 e r Z r V 5 W J 8 + N x 9 X Z i V / N n r x g w H / y + z u r r F J f k 5 f L I y G M M 0 f 2 z 3 k V I 9 1 f n q 9 f u w k 2 n B n c b q z U 8 0 / v 7 m w 3 0 / M d 3 O W H v 1 n f w Y 3 Z L a n 8 K 3 J a / 4 s J 9 X x 6 E + L 6 2 W b + u e P o y I f j 9 V f P j 3 + P 9 t J / L q Z W g L a p 8 6 G K W Z R t X v x Y z N 9 2 L P z u 9 X y 3 h z r t 2 2 f 2 Q k 1 U L e / n s 3 n l 9 f T u e H U H z e r h 8 Y Z 2 2 d Q V D o k V I y M v g 8 3 1 R e L T T E 5 s b 3 b s 5 W v t l q R s f v r Z n b f f Q / 2 X N o g y I Y U D O + c E v w 3 f G d z c y 5 t m s X n 5 M u P 7 R s R p 0 4 v 1 8 R e A p k b Y 3 B 7 i m W a T P f W e l o r o / 0 2 0 9 l 8 L b R e G y u e f u 7 2 v p G I O W 3 D g / t i W 7 J Y H r F v t b O a E 5 o k w N w Z 1 A l N E k b b G + J J j f g R X / U Z 9 + R p R s 2 k U Z 2 T g T j w 5 f Y o S r 8 4 t j n z c X t G o F / 7 A w D 9 t D t D i P A 6 g x z J K 7 3 j 7 b e g x 3 X / + 5 9 s v e / 5 9 G b V r M k 3 Y x h I n w / P C Y F W T C y n g d / n f N m 0 L r D F d L r e B K e D 9 v f l b Y v N z r a x P q j P q f K K v M o P Y M 5 s Z X Y z e O P a m d 3 w t 4 3 d n o 2 p M L I S u W z P R T t a b t p r h m t R 6 p h X 3 4 C X L Z 3 X x k A 1 c j N t M 9 w F W P Z X G 7 e G e g + V b / q 4 V X t 8 C 1 B c X Y C 8 o y O x d X B o Z 9 q 1 k 8 I y h 6 b o o 9 / 5 p 1 i w L T l e B 8 I T S + V H B 0 V 5 / e i g Z x E 6 h J R / t O 0 g B C 8 j k I X H b L T t E M g v I j T 7 7 6 3 I l L 0 Y M C X + o y w w 1 D C 8 z + T B 6 M V 8 m t 0 V d 0 u 6 I R 9 0 3 a X z p L Z Y n 9 e T m 9 x + m X V 1 k f i x / 0 q z N b h 5 f 9 P G 1 8 L 4 m T T + J G 3 8 T B g / l 8 Y v 0 s a f C O O X 0 v h V 2 v i 5 M H 4 t j d / m 3 U 0 A U E g M F j m s E l l c S h B E H q t E J l c S B J H L K p H N t Q R B 5 L N K Z H T L L 6 z P g k c 3 S X o j 9 Q 0 L S 1 Q v X P Y E S B Y 3 F q 6 L / 9 / e t + 7 G d S P r / g 8 w 7 9 D Q + e N g K 3 K T 6 9 a d Q c 5 A i S e O n Y u z o 5 k M s J N B 0 L Y 7 T s e y l C O 1 N J N t 5 I H 2 c + w X O + v S F 7 L q + 4 p c L W c u g Q c Y x + 5 F s q r I Y v E j i 6 w a Y z 2 8 M y l g 5 V I U L P v h C 5 M C V i 5 F w b I g v j I p Y O V S F C w b 4 h u T A l Y u R c G y I t 4 c 6 S J z p C 0 z U p g j X W S O t G V G C n O k i 8 y R t s x I Y Y 5 0 k T n S l h k p z J E u M k e a m Z G 8 H L + 4 Y u Z D N i q Y u U 6 V W M F g R m B G o T T X q R I r G E z / S y n Y W A Q r G M z 1 S y m Y 6 1 S J F Q w m 9 q U U z H W q x A o G s / h S C u Z I V 5 k j b Z m S y h z p K n O k L V N S m S N d Z Y 6 0 Z U o q c 6 S r z J G 2 T E l l j n S V O d L I l O B I A W S f H n g s w f E F d O b G 5 Z K e 3 b h 4 v p t X k 0 n 4 f O M K h g O Y F V T e 4 L j g W G e e G J a + Q 1 c X 1 + u r m 2 f r 5 c 2 V T a w v / X x 1 t e o S I 2 Q U X S 9 e P b 1 c X n U H g O 1 Q Z F Q A L u v k w I Y e 4 f x h 5 b W S n m 1 j S H O K e a v Y O A d 4 c j A 5 o W g o U + X k O P L i w 9 N 8 6 8 w v P H t A d X U Q A o k t + p f 7 J g l 9 C 0 h S M u M Y K I K P H q c I 3 n C Z Y P A D T e I 0 Q S J C T I o I C Z 2 g y R x y m p Q f b o G u K + b 6 X o P 1 v a e p c l P H K F c o W x L t 1 S Y G q A E G 0 F z 4 L C 4 s R F i b O K E G O E F z o X c t i A s L N d b 2 G R b A E p q L M o s L C 1 n W J t 6 o A d 7 Q X O j 9 F e L C Q p + 1 q Z 1 N l n b W W V x Y C L U x t b P J 0 k 6 9 E 0 R c W C i 2 M b W z y d L O W R Y X F t J t T O 1 s s r R T n 0 4 g L i w 0 3 J j a 2 W R p 5 / 4 0 1 T Z b A D L v + T D 1 c 5 Z n P T P N p 2 U / Z 6 a G z r I 0 1 O U Z U G d Z 0 J m p o 7 M s H X V 5 J t R Z N n R m a u k s S 0 t d n h F 1 l h W d 2 f 6 C P D 3 N M 6 M O 2 F E L T W W A i 7 F x m G g v m L N k j m Z J R z q J M S K 0 m c Q Y c 3 O O z N E c U V y g K a K 5 s G b I 3 J w h c z R D F B d o g m g u r P k x N + f H H M 0 P x Q W a H p o L a 3 b M z d k x R 7 N D c Y E m h + b C d L k l f G 5 Z 6 o l A h m b D d M x N b c / c N E t B E c z Q f J j u u 6 n t v 5 t m q S g C G p o P 0 8 k 3 t b 1 8 0 y w l R V B D 8 2 G 6 A q e 2 L 3 C a p a Y Q b A D 7 Z Y E N N 7 U 1 F b m H A S d a z S A n u l j g Q 7 Z V F X m R A S O s F M A b l B F b V 5 G z G T C i G 4 G M 6 G I B I 7 a y I p 8 0 Y I S x C x A H Z c T W V u S 6 B o x o a S A j q B g 4 V c k 5 x 7 i z c 9 v Z k w O 5 t 3 u q 6 Z O M v l B 3 N + 3 l e t K / 5 7 h c f t + y S d o b c d f G J + 5 i Q N i u U m 6 P Y L l t E + m 6 Z t t C M A 5 4 2 S O 2 m V a k z 0 k 4 2 x C x j / L r O 2 / P D O R 3 1 2 z D P Q F n W + s k Y t v C S A 5 4 6 0 O 2 C 2 T O F d t w C 0 H Z R u 5 7 w L Y F q l x h W 2 b k v 9 d s s 1 E n b D P F 0 y C M W U / g 9 I + 4 1 i o E u O a F I N d M 7 z R k o 1 z b p g + 5 4 z X X X P 0 R 1 8 A 9 j 7 j W j e 6 5 B j 7 8 i G t m q T C + y + O a a Z 2 G g 5 R r e 6 F H T n 2 w z P A R g W w z j Q L g k f K t h y L i m 3 d k C j t y v t H t A M S 3 B T X t 2 w E O X Q 8 A f P N S k O + 8 R d J E p u B W Q c R 3 1 i I J k a n B d 9 4 q a Q J Z + 5 6 B Q x c N A N / c u k O + 8 5 Z J E / c C T 1 V 0 J z R r m a S A F v O N / V K a b 9 j q Y b e 3 x k Q h p 2 u z 7 e d y 2 N F 1 m g O V T / O h 8 q j b Y M 5 2 i j n s F Z M s Q 6 h M W G 7 b h F Z 3 1 B U z B / x k E d t Q 8 S X b E C p T t r F T b N S 9 N W c 7 v B z 2 e E m 2 I V T m b E N T N + o y n A M + s I h t N g 8 x V F a F I N t M 8 T R U Z p b L 9 m U 5 7 M y S X H P 9 h 1 w z v c t H y s C 3 F d 2 Q h / Z W c s 1 m G O Y a u 7 H g T U D K t W 3 5 s I N K c s 0 H B H L N F C o f K Q N / V c Q 1 7 8 Y U U u Z c M y H z k b L t 9 X H Q 7 a N X G V 4 K s Q 1 8 P H C p s Z A y 8 A R F f D N D l Y G U O d 9 M 8 U Y g Z d u n 4 6 B T R / P N T T v k O 2 + N N J E y 8 P N E f G e t k R g p M 7 4 9 d O o A v g 2 k 7 G 1 / j Y f + G s 0 3 t z i Q 7 7 x V 0 k L K H j h w I r 6 z V k m K a Q n f e c s k O k U f E T y Q P o e x X T g e u H C C u q Y Z 8 5 Y p 8 b a f x I N p c U D 4 x 7 i B O O p v / A 0 F w 4 1 L p I K + E l p a D h R i N 5 + U L h 3 F K 7 Z J 6 R K p Q L S E l J 4 n K B x w P i l d O o q 0 b J P S J V L B c Q k p P R N R 6 O J 8 U r p 0 F C P a J q V L p A L 2 E l J 6 B q M 0 A v m k A P z 5 P H i 3 u Q 9 E N r k X 7 9 n B 5 e 9 R Y X D 5 0 0 o T u n q 0 k P R 0 U 5 v 2 z 6 M H Z z t e 0 H Z c l G 0 F 2 X f Y 5 N 6 r L k J G K + T k 5 f L m v 9 u O e X X 5 Y n m + + v E l u v 2 / E 8 r E L B 6 5 T b V Q Y F v P h A K b 9 Q O F a p k z N h o e + F k j w Q C o 0 Y K B j T 8 T D G z n D x Y M u E r 3 g t k + S 4 9 8 l l o w c D T A B A M b / s M F s + C c 7 d X 0 y K u p B Q N + N i Y Y u q 5 3 s G D G T t 3 b f k + P / J 5 a M H C / i Q k G L j k d L p i x w f S 2 Z 9 Q j z 6 g W D F y Y Y o K B W 1 M H C w Z c r I F g t q l H v l M t G L i B x Q Q D 1 7 A O F 8 w 4 6 v K 2 e 9 U j 9 6 o W D F z p Y o K B e 1 2 H C 2 Z t E m w P r E c e W L A 4 g z t i d H V G b 8 I P F Q 0 4 c / e i 2 W 5 a j 9 y 0 Q D Q 2 F 5 F o y b I j J L M 2 w r Y r 1 y N X L p C M L X h I s m T Z E Z J Z 6 M N 2 9 n r k 7 A W S s Z F F k i X L 5 k s G v M Z B c A 4 b f i B 3 M J C M G V A k W b L s C M k s / G E 7 j D 1 y G A P J W C k k W b L s C M k s A G K 7 l D 1 y K Q P J 2 G x E k i X L j p D M Q i C 2 0 9 k j p z O Q j K 1 6 S L J k 2 X z J g P c 6 k M y G I M h F D C R j I 4 s k S 5 Y d I Z m F Q Y C r O J I s C 4 P Q / R u S L F l 2 h G Q W C L E f S 3 r k G A a b a V Y K 7 a a T Z f M l A y 7 n I G C S j U G Q 7 x h I N g K D p M u O k M z C I P Z z S o / c y 0 C y E R g k X X a E Z B Y G A X 7 r S L I s D I K u K 1 P J 3 i A G A d 7 t v W T 2 Y 0 u P 3 N R A s h E Y J F 1 2 h G Q W B g H + 7 0 i y L A x C T 0 q Q Z G 8 Q g w A v e S C Z j U G Q u x t I N g K D p M u O k M z C I M C P H k q G P O J A s h E Y J F 0 2 X z L g a w 8 k s z E I 8 p k D y U Z g k H T Z E Z J Z G A T 4 4 i P J s j A I e l x A J X u D G A T 4 6 w P J T A x S I L 8 7 O P c e g U H S Z b M l K 4 B H P 0 4 x B b 7 t E 0 r F H 4 P s U f G H M F 0 U p Z V M D y W 6 O B F 3 2 s 6 M Z R Q G e b F w a Z Q Z C 5 e E q b H k S V a f 8 T h M V w X S G 6 c v y x 6 e N 5 n G P Q S 3 O i L 9 N l b X w r 5 4 U Y C L F 0 F d 0 2 I U 4 I L D I P 3 z 7 S z Y C 2 t e t C 3 A X Y i I k L E U F e A u R F j X u r 1 U g L O x q C 4 A d 1 R A M w A 1 O N C J C F m j A A 4 W o r o G H i 5 s j 2 C B d o l U Q E v L w K Y s i s x q D Q L Y H E R 1 T b p 2 v y K k R + U z d k w F A F Y R H W s M w A I f 1 b W U 2 / Y 2 F c j b R O X T f W G k 7 x O a n J X M T 9 Q 5 K B G s W L Z y s s B K m V i m w L j c l 1 e r 2 8 W z n 9 X v H y 6 u V 9 c v L 6 + H j D J D L 2 r Z P m 1 h Q 5 f l a d / R z 4 O M p a p w 3 9 o u w F o / H N s E G b t 0 R L T e 7 k H z y H r B C 4 + R N Q m n Q b 6 j s c z m V K X 8 5 l Q m L H d J l 8 b y a t a h T J q 1 + k x z q + c 3 H R Y M s 0 b t a 9 O Y e b k t 8 N f q u S 1 Y z 3 g 2 b U Q h V n G R I F Q n L q C C G d K S n x t X l H Z F R K Y X X C w E c D + 1 / 7 c 5 D E F o R v E d t s w o u 0 W s u V x E w H z d m 2 t d Y W P G N 0 b r 3 k 9 t p / 7 3 c r P 9 6 F M m P V 3 + 0 O J 5 Y K J P u 8 S A w 1 X P 5 2 2 5 y b 1 d V r b 3 H j 0 A 5 b t 0 d O / 9 + a v P t N X t 8 s w t u r t v Q 8 I 4 Y V O X 7 a L R 5 U H 6 4 b L F w M v z H 5 Y r / T q r K 7 Q 4 f 0 6 T y u 0 a u V 6 3 Z f R a 0 U L u z u 4 j + l 3 K w U m X z U / n N n p 4 u X z e 7 s m u o o a F 1 H r t e P D x + 5 N d i r z 2 9 2 v d 8 C Z 7 0 G b / M U y y F d 5 3 R L m B 9 i U n F D g n a q D 7 Z l G q o F w a R g 1 M 4 z R b 4 l P E P y 6 J u I h L / r J P h P j p N t P q 7 f L q b 1 2 k 1 D A 1 6 1 f L V 5 e 3 y 3 2 S 8 q 5 y k D W x S 7 g e Z B j E S Q V x H k G a O j C Z L V A n C C Q 5 A R N p A G n m P 5 z s z 8 7 v h 1 P 6 2 V n 8 W O K + V K 4 + n p 4 v n Z H P T M I X 5 d 2 T q f Z U d r 0 4 o V 6 U Q w + n z R N 5 7 n R q u 4 M z y r 3 h t H A s y Z u d 1 w 2 m c k t l b 0 s m b O O 5 1 0 D K r k Q a r m R q r e x 0 W b s N V / f 3 / f 4 q a E K 8 G A n r 9 N m r o p N U W s 9 H 9 Q p R r 6 T 1 i q h e J e r V t F 4 Z 1 W t E v R m t V 0 X 1 5 q J e f + D C c 0 C F 0 Z F k T d 4 1 T V x T 9 o 3 j n T O L a 8 r e c b x 7 5 n F N 2 T + O d 9 C + C x 5 n x J 0 K n 5 1 J X Q k b s p T M K y 3 z t G a s Z l 7 2 p S 9 p z V j R v O x L X 9 O a s a p 5 2 Z d + R m v G y u Z l D x W 8 h 2 J t K 2 Q P F b y H Y m 0 r Z A 8 V v I d i b S t k D x W 8 h 2 J t K 2 Q P F b y H 9 t q W F 7 4 h o C J 7 s w y b s v S t l L 1 Z e l o z 1 r d S 2 b W S 1 o z 1 r Z S 9 W d a 0 Z q x v p e z N c k Z r x v p W y h 6 q e A / F + l b J H q p 4 D 8 X 6 V s k e q n g P x f p W y R 6 q e A / F + l b J H q p 4 D w 3 6 1 q M G I x W I n f 0 j J + F H I k G F k Z M i n Y Z C R i t O Z J 6 Q k Q b z s k j I w C u J V B D y 9 W k y r c N G i H z 8 M i R W i M D B d N + O e p Q l O w n Y g V p q e e 1 J g 5 4 1 G J u H W i p / X Z I G C 9 Z g b D V q h Y d q 0 m D J G o y N S S 2 n S j 0 j D V a s w d j G 1 H J Q G j Y o N W s w N j 2 N H J S G D U r D G o w t U i M H p W G D M m M N x o a q k Y P S s E G Z s w Z j + 9 X I Q W n Y o L g p a 3 H 4 s m 9 S D s u M z h U + W e L Z M p M D M 2 M D 4 + h 0 c f F 8 m c m h m b G h c X T C u H j G z O T g z N j g O D p l X D x n Z m p z Q Y e H T p r t l z H R 4 w M O 5 G j O p / v m k O X D c d y D b Y 8 c y 7 k n D X r W Y D y S c z m S 8 5 I 0 W L A G 4 3 G c y 3 G c 1 6 T B k j U Y j + J c j u J 8 R h q s W I N i 6 6 j 3 j m x U a t a i 2 F N O 1 a Z y y s a l Y U 2 K z e Z U 7 T a n b G R m r E m x C 5 2 q b e i U j c 2 c N S m 2 p 1 O 1 P 5 2 y 0 X F T 1 q Y w g U N w 7 6 h R R 6 c N n z f i P E T v + x 0 b I k f n j j C D T h 8 J O D Z I j s 4 f Y Q i d P i 1 w b J g c n U P C F D p 9 k O D o Q N F 5 t D O T I w 8 Y 1 A m D 8 9 N 9 S x A B k k i D + 6 / m 4 Z c 6 m H D e E 4 L e J r i J E w 2 J C m U Y j j A i o h U h W i S J 1 o y o U B Z 1 q O H 8 j B A t k 0 T n j K h Q p u H 4 I y R a O E K 0 S h E t P C N a C a J q r h U l I V o n i V a M q D D s w 9 F J R L Q h R J s k 0 R k j K s 8 Z 1 X Q p 2 X S Z p Y i W j h E V i 8 N w l B I R L Q j R e Z J o y Y i K 5 U M d r r i y J k T d N E m 1 Y V T l A j M c x E R k 5 4 x s w i B t Q v t i s s I q q c M Z V z G r 5 J J m q a J m S S 5 S l b J L F b N L L m m Y K m q Y 5 D K m D n d c x S y T S 5 q m i p o m u d D V y j b V z D a 5 p H G q q X H a 1 R 1 7 + u n U W Y P b H T a g w L J G M L H 9 V 3 M x V G c R b n c Y g c L C m l H u 6 o Y R F U p X q y l W z w n R I k V 0 d z K R O K p 1 6 g j C N Z 4 Q L Z N E C 0 Z U K F y j p l d T E a J V k m j N i I r F U J 0 8 u N 3 R A 4 q H a h O d M 6 J i M Z y p q T V z h G i T I j r z j K h Y D N V R g 5 u x 6 T J L E q 0 Y U b E Y z t S y P 2 s I 0 X m S 6 I w R F Y u h O i x w 8 y k h 6 q Y p q n P H q M r F c K 4 W / n n B y C Y M 0 i Z 6 J y Y r r J I 6 J 3 B z Z p V c 0 i z N q V m S i + F c 2 a U 5 s 0 s u Z Z j 8 l B o m s R h 6 d U D g p 8 w y u Z R p G k J f Y r L C 4 z m V t m m I a Q n J p o y T n 1 L j 5 I S 7 V J 0 K D H E l w x L K 5 y z U 0 q v 9 u t + o Q X 7 w u b A 1 5 W / e d D M O D G f H g r t D 9 L e Q J e X I 3 m z z c V g 3 O 5 L b H W O 3 h W z J C T J E a G N B 2 e w 4 b H e M v B a w B a 4 a e M J W a b K F v o 6 M m x a y p S b Y Z s + P A 6 L Z M d D u G P U s Z E t N w M 2 p A A 5 n Z k c w u 2 P M s v D S h w Q Q v n C E r c Z k C 3 0 d G X E s Z E s Z h 4 I Z h 5 n J F v o 6 M l 5 Y y J Y E I b 5 o C F t z k y 3 0 d W S 0 r 5 A t Z b o 3 p x M k j F c i c t c d Y 3 U F j K k T D F 8 W j L G E k b + L l d + E 2 g o Z U 5 a + Z J b e 2 a Y e f h 4 Z K S t k T N n 6 k t l 6 Z x t 7 + H l k o K v w j p e y 9 h W z 9 s 4 2 9 / D z y D h V I W P K 3 l f M 3 j v b 4 M P P I 8 N M h Y w p i 1 8 x i + 9 s k w 8 / j 4 w S F T C m z m N 8 z W y + s 4 0 + / D w y y F P I m L L 6 N Y W E t t m H n 0 f G a A o Z U 3 a / Z n b f 2 Y Y f f h 4 Z Y i l k T F n + h l l + b 1 t + + H l k h K T w Y q e y / A 2 z / N 6 2 / P D z y A B H I W P K 8 j c U 4 y d A / t 0 s f y M s f 6 M s f 8 M s v 7 c t P / w 8 M r x Q w J i 6 r O J n z P J 7 2 / L D z y O j A 4 W M K c s / Y 5 b f 2 5 Y f f h 4 Z 3 C d k T F 9 r Z p b f 2 5 Y f f h 4 Z m y e 8 N K 0 s / 5 x Z f m 9 b f v h 5 Z G i d k D F l + e f M 8 n v b 8 s P P I y P j h I w p y z 9 n l t / b l h 9 + H h n Y J m R M X 4 B n l r + w L T / 8 P D I u z a F B U Y I r 6 F O 5 Y g z x S s I S c r 4 P U U n C E n K 0 h t g j i X A j Y Q P S C A 8 x R c L X A 3 I K F e I Y d Q g W E p c o b C b E e x + n 5 B S n e U O o j 7 i E e K q g z o y K D f I w w 3 Y E D X g l p x d y e i W n l 2 0 o Q T a G 1 o y t E T a g 5 P R C T q / k F C c c h T r h K A p n M 9 H z u I / 7 w E I 9 J I I 7 5 I d z y A / g M C Z k w 6 g g D a P C M o w M x J A X e i E v 2 E J u e I V D A i o c E k L h s K A J M E w C C I x g h U K A w Q 9 o u I N U g I N k S A M 7 i I E Z t i A j U M G Y 0 A T p Y A R h + A E V c Y A F G R B x B U A Y g T h y Q B w s A M c H O O o N C Q w C c P T o y 8 m O 7 9 4 c D X E A 4 m e t / f N 9 / q w 1 f N 2 / D 6 + 2 e 5 J v v H c N 3 + z H N f X b 2 k / t t 7 W f G m 9 r g w f 3 X 1 + e v + h e I Q / h f b a v 7 / e P 6 o P H 9 1 2 x q / 3 r e / R U / 7 g L V d d 2 5 / P F i 9 7 a t 9 D k Y v W i 6 / y L m 7 Z s z 9 o X n R / s d v d l 0 M R X X a S h x f l 5 / 2 K 6 e 3 b d 2 / S N 1 e 4 1 r U c o L y 8 v u s a C Z 8 f D q / p h g d i + o + 4 e U f c p 3 p b f r 8 7 / 9 3 + 6 Y g / E e i K b + c v y / K V 4 q v 2 H T T + e 6 Z 4 / s 3 v + L P 9 V 8 / a H x / K H U / n D m R W V 7 l q / u j Z C 2 N 3 E h f O T Q + + 7 M T a R u 5 9 D I z m M 8 + J C v J z v P v 1 X T 2 K y v l r 2 b 6 b O r 9 X T s q 8 v r 4 b K 6 9 Y u 7 R 6 4 t 9 b z Q h X t G r t Z r V / 2 s a Z W 3 a i / r 8 p 8 v m v A G d + 8 + v Z p r 1 d P W 9 u w W K w 7 K p O T k 5 M g 0 h Z + E r c V O u w N I H L 0 3 s 0 S O C o I x Y 1 K R M K S L 1 5 8 S Q s K X u e J h 2 3 D B / 7 8 Y 1 P x s b o R v f m A 7 o f t i W U q f 0 / f 0 H 3 G U u Z 0 G Z N K P Y y m I N f 9 M R k q D 8 n v K F I 6 w i y O y c S N c a 5 G m J 4 x m Z E x T s I I 8 y 4 m U y 3 G 2 R V h Q s V k D s U 4 b S L M l J h M j h j n Q 4 Q p E J N Z D + N E h z C 3 Y T K d Y Z z B E C Y t T O Y p 3 B w s Z C Y Y F C F t Z R T b M H B t F K t 2 V H h a H Z H 2 L t F Y r e i I e f E Q D 4 u A m B f 0 0 I h z e L Q D p R t E O / x 7 h 4 A f t A M 6 + f N P X X C t 5 y G S + 2 L R g 7 E k j O s s 0 h 7 F p f D f 8 e v X d 4 F n D 3 Y 7 7 z D K 0 1 / 6 n u l A 4 O 2 i l z p g 7 6 f z x b P l 1 4 v z m + W 9 h E z H R 4 8 X 7 R 9 / P z r e 1 L r a V v / T 8 u / r F o o G x D l t R 4 k r L o + P v u g G 7 2 g c Q U s G x w d G 8 9 k N R S b c D Y s 9 X f 2 o i l i D 4 Q 8 a D Z c e j i R T n K c i e 5 B 8 e p R G 8 G F J 7 P P H r u j H L r U H 6 b + f w K / W e J U H j Z f P m T 6 c H 8 5 O l T 1 U Z c 6 E O o S F O p u F q u u F r v H 2 v 8 e b v 0 h W + r o t L 3 C L K E P X T a 5 / O l / 1 d r 5 d G j p M t u o M e Q v 7 X o Z W 7 q w r N K g L Y K o 2 N q R 9 z R Z E D k 1 0 v f T h z 6 3 V W b 1 a t T / e 6 6 S Y / O f N 5 X p 5 t v 6 5 p f P R 9 e 2 7 f f h f 0 N i J Y 2 R O f C h W H G Q v M F j 9 C c 7 3 7 b Z l E K Q r t z s W M L u h m w u U o z g K I 2 E v L J Y 5 W w s + W 6 W E J n 9 d U L u T 3 X n A p A v m d t U f B Q 5 2 x J y p z U E z t T U e R / v z B 8 u + J j j L 6 6 g y 3 6 w 1 v K v 8 r q v 6 W T W u n 2 Y H 9 V M Z z O V E J z G e O E v z b J P S g u v p 8 c X N + T k 1 J E Z o 0 Z x g o j n h Q 3 M C h u a E C L W C g l p h Q H n g z 0 w t r P K 1 c N 5 r o d W p w + H G 7 p g g N 2 r r 0 e P I 5 9 H + l h u 9 V d b 0 R 7 l R X I 9 O h Q c l p J o a L F V 3 T 5 c O 4 m n g F V E 9 R I c 3 r L U 7 H 0 l F f I 1 q B S c l J h j l 8 N x W n y S 6 k S e 7 F h M c E g N + k 6 D G o G w i 7 B G b h c 4 H / F p T 6 g 4 L f r j 8 W z D Q l t Q c d C f Y z O p 7 d o R u c c S h L m A + a x w y u D C F H b E J 6 L z u r 2 2 q 2 / H Z T y m r N z j S T r C c N T 5 Z 3 i P F U z 7 0 7 q 4 c 5 I x Q F h + m w A b 0 A / x v x 8 j 0 4 f S j F J q w w f Q J x 8 7 Z P u L b 8 9 X t y b 5 U 5 O 1 5 f E N K R S 6 g 0 / D J 9 F D O G o f D o G Z 3 I S Y J X v 4 V X F G 5 Q z 8 C z P p m M / Q j 5 G s H + K Q b j u B z R + Q i G u k 8 6 V s t S D Q 1 w v H Q K o v R G P T K t j + e X F w N B Y i X 7 5 P 9 v + J i o Z 9 r 9 3 d T P Q 9 D + K 5 M m 6 5 P I p b 3 3 B j M 5 G P 7 7 l Z T y m a N Z 6 C Y 5 j M w T 0 7 Q f M + S x V L + q W h 3 j y t l M 9 5 6 C 9 + U Q R u x L y q G k w z a + W c x 2 k 8 M x W P x 0 6 Y S G Z / H 8 Z 6 A j 9 a p X E N H j N 4 T / W s g y q h R f U I / B n L m D f o T / W v Q C b k W / A l U E m v G H n h s n 7 F T Y m 5 s i 5 v 8 A / s i 4 8 Q + g w N T y H r E r B F n 9 d p 1 L y 7 x h Y O S c K Z F Q y R u U y X 4 1 x e r u t X 6 G N 6 m e h D e d k 0 5 O 2 y / Q / q 8 M 3 H M p 0 9 f 0 L k K O j H B Z y H 4 l I O d Y 7 C T C n 4 W o X b I a k s G 0 D + A + g D X Q x B v g U g L F V o g L 4 Z q I Q g Z e / E k P D i Q C 0 B o 5 W N D j k 2 z a W W x 3 W R 2 U E / C t z c U / m V v K B y / v Q n 4 W 7 4 J + P Z u 2 m / 2 b p q d A D y V 8 t t K 8 m 2 m 9 f 7 3 u B N n g V 9 + T J 0 E i E k w / u s v c 5 Z k + Z c 7 i o z b H f 9 c W f K P q r t w M 3 m n L m 8 C G O R u a p o R m 5 r N s f Y d s M o T X O q z h / a u 9 M B z 6 C b j N t m v B X 0 s c f i 5 J Z A 8 f R H t H y D C 7 p X O d d f f 7 Q h e L s P r o B 9 d v n q 6 u r B U Z 9 b t P c W K / c R Y R Z 8 Y K 9 s T Y 7 U J 7 P c v x x u 2 r r b 8 p S 4 6 f X F 5 s X z 3 e N t G l + w w 0 Q P O 6 A L c Z W 0 v Q K A C k Q e E E h A b w M U e r t 5 w W d T r 3 M G d N z R 1 n e o 5 P 7 b n u m P I N J x L Y r U k E E u i r C S E S u K j J A i x E c b B Q 6 O b P T K M F P d n k A F t i b b / s y x V M L F 2 S n e N B c 5 e v 2 Y j 1 q / N H Z 9 R T x Z O L f R m 3 a f l 7 p i E P J k g I Y U n T S r z / F 7 r g s 1 1 9 / M O 2 K F 9 r n 4 e D r E P X L G 6 E p P l + t n G u Z 1 3 / v A l + n i 0 z X u e f 4 j 1 M M M T Z q n D g Q f r 2 Z 6 6 f + z + K v + 0 2 h m n 1 a C T f l M n 1 G 9 P k / N O k z P m 1 v G / 9 T F y Y o 7 K L W t q z o Z b W m v + R t t d 8 7 D k j s f X f F t 3 / C b O p w P L T y 3 6 8 d u j 5 r d H z T l H z Q C U 7 P e N W d A 0 h Q r 3 a + N X q x / 7 t f C 6 i 9 b V R b b Y v 9 1 p f 0 m f 5 A 1 3 L 2 J l f d K t o S c P l t f P B o 0 2 U Q e / g K N Y S + G M 0 f o 0 Z l x a G d 4 J B F h d Z 7 z q B M I e T 6 b H k 1 6 K C R Z j 8 v r g V d F g c Z K 8 5 x Q J 1 D b f b 5 T 6 C D J w q z Q 5 e K 8 U v 0 I K Q C d 5 Z 4 W l 6 d + I m m g n f D n 1 u 3 d W F 4 z + 7 9 9 5 5 / q H R W s 5 J h + f P W i Z O V + u + 5 J d E J / 2 n x 9 d 3 5 4 8 u H x 2 8 6 r L 7 f z x q j 8 N u O h X 0 n t H 9 7 s Y P N f 3 1 z 8 u n z 5 d u v u f r Z 5 e L a 5 + v v / R e b s q n a 0 v r x Y v l v e f X C w f X K 1 u l + 9 9 3 N q m q w 4 L t j I 8 X H b b h u v l 2 X a F e 7 F q f 7 h Y X m x / 6 F T / b H 3 y y c 3 T 5 d X 6 5 v r + w / b j V T u d 3 5 s 8 + l N L / m + r l y + X X X S g + 4 8 u W j P R F r / t F 5 L 7 f u q r + 8 + u b w e l b g f o 4 v 4 W r L Z / b Q X s C p y 0 B d p 9 9 e S b 3 X 6 8 l b P f k W + A b / v P x h f H k z 9 e P L v s g w Z 9 M K m r 6 d T 9 t V e w r h M / W S 4 6 A f o 3 0 u 2 w t P O q X 5 B v l 4 u b / Y B + e X X 5 q t 3 h b 8 r e 6 z q 0 J b r 5 9 f T 8 / O z Z 4 r w d q w / W V z f L f d P x + C T V w + K k 1 d L X c m F 9 d L G u y 5 O u d r / D i i 1 X r z P d G r t e v R q + i 3 V X F x B x l E T z w U 4 h f v B 3 e t 7 u T p f L i z + o L 1 / 3 T 0 m C X N u s y H I f b s 0 o E k Q D y y v V 2 r / 1 Y n V + b Z T u g p z p z 8 P 6 N z E 5 1 2 U 4 u Q 8 3 U c f s F n e l t s g 5 o 0 g G z S 2 o z i i S 0 d o e j G c V 4 i 3 u o q 0 l u h k V s 1 o N d g d m w 2 e b 7 a j + E u B z 8 n G z T 9 B f d 5 s A / W m 7 j z D p D a A c 6 a u + / x 2 X 0 F v 2 + P s f 3 3 v V 9 t j i + d X y W n 1 r o Y H 1 + f B Y E m j G p A I h x H U e X C 7 7 g 7 C L x e J 6 L X Y I / e + X L 3 p u t u i m O 4 n 6 g z Z e i X f 8 g u a q 1 Z + u 8 W W I N Y f m X y y 7 9 b k F C 5 N O I y / 7 v d F W l u f 9 1 c N r U + v I G 3 E w l r 2 c z 1 q M 2 u r N o o + M J 7 j c X X f c g P U d V V 5 0 G 0 O R l 1 D x E a 3 C O z k y S 4 u N O y n X d w o d H B 3 c T 3 / n b 7 V g W b X F F s q T C g K o G 0 U R A X W j p w k 5 j G C B u u w o B s 8 S l I 3 X b r r s G M q P E j L H r 7 F U l z 0 a 0 S X x k y 3 Q 1 D i + T + 3 G 9 H 1 9 H a E Z V 8 u 6 O C + q b k P y a i y 2 i 8 3 L O n c 3 z Y b c Z r z t 7 3 R o h z B 2 d 1 7 7 3 m i / s N o v 8 9 o v j P Y r q / 0 6 r / 3 S a L + x 2 p / l t V 8 Z 7 c + t 9 v v Y 2 R k E a m u A z R F 2 m U P c W B T M M X a Z g z y z K J i j 7 D K H e W 5 R M M f Z Z Q 5 0 P 1 7 Y n o m 3 O F l 2 I / d p C x V q p 1 z d D l B N b q x c j 8 d Y D + 9 M C l i 5 F A X L f v j C p I C V S 1 G w L I i v T A p Y u R Q F y 4 b 4 x q S A l U t R s K y I N 0 e 6 y B x p y 4 w U 5 k g X m S N t m Z H C H O k i c 6 Q t M 1 K Y I 1 1 k j r R l R g p z p I v M k W Z m J C 9 P N 6 6 Y + b 6 N C m a u U y V W M J j V m 1 E o z X W q x A o G U 3 h T C j Y W w Q o G 8 3 V T C u Y 6 V W I F g 8 m 5 K Q V z n S q x g s F M 3 J S C O d J V 5 k h b p q Q y R 7 r K H G n L l F T m S F e Z I 2 2 Z k s o c 6 S p z p C 1 T U p k j X W W O N D I l O I o A 2 a c H X k t w f A E d u n G 5 p H c 3 L p 7 v 6 t V k E n 7 f u I L h B G Y F l U c 4 L j j W n S e G p e / Q 1 c X 1 + u r m 2 X p 5 c 2 U T 6 0 s / X 1 2 t u o Q K G U X X i 1 d P L 5 d X 3 Q F g O x Q Z F Y D b O j m w o V c 4 f 1 h 5 r a R 3 2 x j S n G L e K j b O C Z 4 c T E 4 o G s p U O T m O v P j w Y t 8 6 8 w v P H l B d H Z t A Y o v + Q b 9 J Q t 8 E k p T M 8 A a K 4 K P H K Y I 3 X C Y Y E 0 G T O E 2 Q i B C T I k I i K m g y h 5 w m 5 U d h o O u K u b 7 X Y H 3 v a a r 8 8 j H K F c q W R H u 1 i Q F q g A E 0 F z 6 L C w s R 1 i Z O q A F O 0 F z o X Q v i w k K N t X 2 G B b C E 5 q L M 4 s J C l r W J N 2 q A N z Q X e n + F u L D Q Z 2 1 q Z 5 O l n X U W F x Z C b U z t b L K 0 U + 8 E E R c W i m 1 M 7 W y y t H O W x Y W F d B t T O 5 s s 7 d S n E 4 g L C w 0 3 p n Y 2 W d q 5 P 0 2 1 z R a A z H s + T P 2 c 5 V n P T P N p 2 c + Z q a G z L A 1 1 e Q b U W R Z 0 Z u r o L E t H X Z 4 J d Z Y N n Z l a O s v S U p d n R J 1 l R W e 2 v y B P T / P M q A N 2 1 E J T G e B i b H g m 2 g v m L J m j W d K R T m K M C G 0 m M c b c n C N z N E c U F 2 i K a C 6 s G T I 3 Z 8 g c z R D F B Z o g m g t r f s z N + T F H 8 0 N x g a a H 5 s K a H X N z d s z R 7 F B c o M m h u T B d b g m f W 5 Z 6 I p C h 2 T A d c 1 P b M z f N U l A E M z Q f p v t u a v v v p l k q i o C G 5 s N 0 8 k 1 t L 9 8 0 S 0 k R 1 N B 8 m K 7 A q e 0 L n G a p K Q Q b w H 5 Z Y M N N b U 1 F 7 m H A i V Y z y I k u F v i Q b V V F X m T A C C s F 8 A Z l x N Z V 5 G w G j O h G I C O 6 W M C I r a z I J w 0 Y Y e w C x E E Z s b U V u a 4 B I 1 o a y A g q B k 5 V c s 4 x 7 u z c d v b k Q O 7 t n m r 6 J K M v 1 N 1 N e 7 m e 9 C 8 6 L p f f t 2 y S 9 k b c t f G J u x g Q t k u W I W o n L L d t I l 3 X b F s I x g E v e 8 Q 2 0 4 r 0 O Q l n G y L 2 U X 5 9 5 + 2 Z g f z u m m 2 4 J + B s a 5 1 E b F s Y y Q F v f c h 2 g c y 5 Y h t u I S j b y H 0 P 2 L Z A l S t s y 4 z 8 9 5 p t N u q E b a Z 4 G o Q x 6 w m c / h H X W o U A 1 7 w Q 5 J r p n Y Z s l G v b 9 C F 3 v O a a q z / i G r j n E d e 6 0 T 3 X w I c f c c 0 s F c Z 3 e V w z r d N w k H J t L / T I q Q + W G T 4 i k G 2 m U Q A 8 U r 7 1 U E R 8 8 4 5 M Y U f O N 7 o d g P i 2 o K Z 9 O 8 C h 6 w G A b 1 4 K 8 p 2 3 S J r I F N w q i P j O W i Q h M j X 4 z l s l T S B r 3 z N w 6 K I B 4 J t b d 8 h 3 3 j J p 4 l 7 g q Y r u h G Y t k x T Q Y r 6 x X 0 r z D V s 9 7 P b W m O D k d G 2 2 / V w O O 7 p O c 6 D y a T 5 U H n U b z N l O M Y e 9 Y p J l C J U J y 2 2 b 0 O q O u m L m g J 8 s Y h s q v m Q b Q m X K N n a K j b q 3 5 m y H l 8 M e L 8 k 2 h M q c b W j q R l 2 G c 8 A H F r H N 5 i G G y q o Q Z J s p n o b K z H L Z v i y H n V m S a 6 7 / k G u m d / l I G f i 2 o h v y 0 N 5 K r t k M w 1 x j N x a 8 C U i 5 t i 0 f d l B J r v m A Q K 6 Z Q u U j Z e C v i r j m 3 Z h C y p x r J m Q + U r a 9 P g 6 6 f f Q q w 0 s h t o G P B y 4 1 F l I G n q C I b 2 a o M p A y 5 5 s p 3 g i k b P t 0 H H T q a L 6 5 a Y d 8 5 6 2 R J l I G f p 6 I 7 6 w 1 E i N l x r e H T h 3 A t 4 G U v e 2 v 8 d B f o / n m F g f y n b d K W k j Z A w d O x H f W K k k x L e E 7 b 5 l E p + g j Q g j S 5 z C 2 C 8 c D F 0 5 Q 1 z R j 3 j I l 3 v a T e D A t D g g C G T c Q R w C O v 6 G 4 u H G J V P h X Q k v L g a L t 5 p P S p a P Y x T Y p X S I V k p a Q 0 v M E R Q b O J 6 V L R 1 G X b V K 6 R C p M L i G l Z y K K Y p x P S p e O 4 k X b p H S J V O h e Q k r P Y J R Z I J 8 U g D + f B + 8 2 9 8 H I J v f i P T u 4 / D 0 q H C 5 / W m l C V 4 8 W k p 5 u a t P + e f T g b M c L 2 o 6 L s q 0 g + w 6 b 3 H v V R c h o h Z y 8 X N 7 8 d 9 s x r y 5 f L M 9 X P 7 5 E t / 9 3 Q p m Y x S O 3 q R Y K b O u Z U G C z f q B Q L X P G R s M D P 2 s k G A A 1 W j C w 8 W e C g e 3 8 w Y I B V + l e M N t n 6 Z H P U g s G j g a Y Y G D D f 7 h g F p y z v Z o e e T W 1 Y M D P x g R D 1 / U O F s z Y q X v b 7 + m R 3 1 M L B u 4 3 M c H A J a f D B T M 2 m N 7 2 j H r k G d W C g Q t T T D B w a + p g w Y C L N R D M N v X I d 6 o F A z e w m G D g G t b h g h l H X d 5 2 r 3 r k X t W C g S t d T D B w r + t w w a x N g u 2 B 9 c g D C x Z n c E e M r s 7 o T f i h o g F n 7 l 4 0 2 0 3 r k Z s W i M b m I h I t W X a E Z N Z G 2 H b l e u T K B Z K x B Q 9 J l i w 7 Q j I L f d j O X o + c v U A y N r J I s m T Z f M m A 1 z g I z m H D D + Q O B p I x A 4 o k S 5 Y d I Z m F P 2 y H s U c O Y y A Z K 4 U k S 5 Y d I Z k F Q G y X s k c u Z S A Z m 4 1 I s m T Z E Z J Z C M R 2 O n v k d A a S s V U P S Z Y s m y 8 Z 8 F 4 H k t k Q B L m I g W R s Z J F k y b I j J L M w C H A V R 5 J l Y R C 6 f 0 O S J c u O k M w C I f Z j S Y 8 c w 2 A z z U q h 3 X S y b L 5 k w O U c B E y y M Q j y H Q P J R m C Q d N k R k l k Y x H 5 O 6 Z F 7 G U g 2 A o O k y 4 6 Q z M I g w G 8 d S Z a F Q d B 1 Z S r Z G 8 Q g w L u 9 l 8 x + b O m R m x p I N g K D p M u O k M z C I M D / H U m W h U H o S Q m S 7 A 1 i E O A l D y S z M Q h y d w P J R m C Q d N k R k l k Y B P j R Q 8 m Q R x x I N g K D p M v m S w Z 8 7 Y F k N g Z B P n M g 2 Q g M k i 4 7 Q j I L g w B f f C R Z F g Z B j w u o Z G 8 Q g w B / f S C Z i U E K 5 H c H 5 9 4 j M E i 6 b L Z k B f D o x 2 m m w L d 9 U q n 4 Y 5 B B K v 4 Q p o y i t J I p o k Q X J + J O 2 9 m x j M I g N x Y u j b J j 4 Z I w P Z Y 8 y e o T I I c p q 0 C 2 4 / R l 2 c P T K N O 4 h + B W R 6 T f x u p a 2 B c v C n D x I q h r W o w C X H A Y p H + + n Q V 7 Y c 2 L t g W 4 C x E R M p a i A t y F C O t a t 5 c K c D Y W 1 Q X g j g p o B q A G B z o R I W s U w M F C V N f A w 4 X t E S z Q L p E K a G k Z 2 J R F k V m t Q Q C b g 6 i u S d f u V 4 T 0 q H z G j q k A w C q i Y 4 0 B W O C j u p Z y 2 9 6 m A n m b q H y 6 L 4 w U f k K T s x L 6 i T o H p Y M V y 1 Z O L l g p E 8 s W G J d 7 s L p + d r 5 Y o Q Q n p 1 2 + r O E C 1 P N 2 J C b 3 d r m K 3 n v 0 A A j a 5 W h 6 7 8 9 f f a Z 5 6 b I v L b o b I U M a p f j r h 8 u 2 K 7 v s I D 9 c t i v D 8 v y H 5 U q / W e g K L c 6 f 0 1 R L u 0 a u 1 2 0 Z 3 Y P t Q t T 1 B q L f 5 e G a d C m u d M a P h 5 f L 5 y 1 S u Y o a F l K r S l 8 + + P j 9 y S 5 x V J c Y T C v n k F J j s y g P O U J W e D G O E m b s S 0 7 o a p K o g S 5 h R P k z c m k Y N T C N 0 2 y J T x H / u C T i I i 7 5 y y 4 5 2 C 6 x 9 + 3 y 6 m 9 d 9 M A w Y + F X y 1 e X t 0 G e 6 K 5 u k E m s y 0 Q c Z N 3 C i b Z w b i 2 a T i u Z Q U s n z S J 5 s h K p s W g 2 L J w A y 8 5 5 h d N c 2 Z m t W D K r V P 4 q n r I q n a X K T E w V 5 a K S 6 a d U x q k 4 y V S U V w q n k h K 5 n 3 S 6 p 4 O z L L 3 h V E k s 8 Z G d 6 w i m N 0 p l N E o m M e L 5 i E A a m 0 R q m m S 6 m e w U M j s Q c t R n s N 5 i j q A J c Y s 6 r N N n d I l O F 2 g 9 H 9 U r R L 2 S 1 i u i e p W o V 9 N 6 Z V S v E f V m t F 4 V 1 Z u L e v 0 m h O d F C S O G y J q 8 a 5 q 4 p u w b x z t n F t e U v e N 4 9 8 z j m r J / H O + g f R c 8 z o j F E j 7 F k L o S N m Q p m V d a 5 m n N W M 2 8 7 E t f 0 p q x o n n Z l 7 6 m N W N V 8 7 I v / Y z W j J X N y x 4 q e A / F 2 l b I H i p 4 D 8 X a V s g e K n g P x d p W y B 4 q e A / F 2 l b I H i p 4 D + 2 1 L e 9 J c 0 B F 9 m Y Z N m X p W y l 7 s / S 0 Z q x v p b J r J a 0 Z 6 1 s p e 7 O s a c 1 Y 3 0 r Z m + W M 1 o z 1 r Z Q 9 V P E e i v W t k j 1 U 8 R 6 K 9 a 2 S P V T x H o r 1 r Z I 9 V P E e i v W t k j 1 U 8 R 4 a 9 K 1 H D U Z 4 f D s i f k 4 Q / E T Q d i N O e z o 0 u 4 z g m Y j G L q N v 5 U V W l 8 E I E u H R 5 Y u s Z K j z j R D 5 + G U I N h 6 B g + m + H f V Q Q X Y S s A O 1 1 P L a k w Y 9 a z A 2 D 7 V U / r o k D R a s w d h q 1 A o P 1 a T B k j U Y G 5 N a T p V 6 R h q s W I O x j a n l o D R s U G r W Y G x 6 G j k o D R u U h j U Y W 6 R G D k r D B m X G G o w N V S M H p W G D M m c N x v a r k Y P S s E F x U 9 b i 8 G X f p B y W G Z 0 r f L L E s 2 U m B 2 b G B s b R 6 e L i + T K T Q z N j Q + P o h H H x j J n J w Z m x w X F 0 y r h 4 z s z U 5 o I O D 5 0 0 2 y 9 j I i o H H M j R n E / 3 z S H L h 2 M b B 9 s e O Z Z z T x r 0 r M F 4 J O d y J O c l a b B g D c b j O J f j O K 9 J g y V r M B 7 F u R z F + Y w 0 W L E G x d Z R 7 x 3 Z q N S s R b G n n K p N 5 Z S N S 8 O a F J v N q d p t T t n I z F i T Y h c 6 V d v Q K R u b O W t S b E + n a n 8 6 Z a P j p q x N Y Q K H g L d R o 4 5 O G z 5 v x H m I 3 v c 7 N k S O z h 1 h B p 0 + E n B s k B y d P 8 I Q O n 1 a 4 N g w O T q H h C l 0 + i D B 0 Y G i 8 2 h n J k c e M K g T B u e n + 5 Y g A i T R t / Z f z c M v d T D h v C c E v U 1 w E z s V E h X K M B x h R E Q r Q r R I E q 0 Z U a E s 6 l D D + R k h W i a J z h l R o U z D 8 U d I t H C E a J U i W n h G t B J E 1 V w r S k K 0 T h K t G F F h 2 I e j k 4 h o Q 4 g 2 S a I z R l S e M 6 r p U r L p M k s R L R 0 j K h a H 4 S g l I l o Q o v M k 0 Z I R F c u H O l x x Z U 2 I u m m S a s O o y g V m O I i J y M 4 Z 2 Y R B 2 o S 7 x G S F V V K H M 6 5 i V s k l z V J F z Z J c p C p l l y p m l 1 z S M F X U M M l l T B 3 u u I p Z J p c 0 T R U 1 T X K h q 5 V t q p l t c k n j V F P j t K s 7 9 v T T q b M G t z t s Q M E W j Q A 7 + 6 / m Y q j O I t z u M A K F S j Q j P 9 U N I y q U r l Z T r J 4 T o k W K 6 O 5 k I n F U 6 9 Q R h G s 8 I V o m i R a M q F C 4 R k 2 v p i J E q y T R m h E V i 6 E 6 e X C 7 o w c U I 9 A m O m d E x W I 4 U 1 N r 5 g j R J k V 0 5 h l R s R i q o w Y 3 Y 9 N l l i R a M a J i M Z y p Z X / W E K L z J N E Z I y o W Q 3 V Y 4 O Z T Q t R N U 1 T n j l G V i + F c L f z z g p F N G K R N R D t M V l g l d U 7 g 5 s w q u a R Z m l O z J B f D u b J L c 2 a X X M o w + S k 1 T G I x 9 O q A w E + Z Z X I p 0 z S E g 8 N k h c d z K m 3 T E O c N k k 0 Z J z + l x s k J d 6 k 6 F R h i r Y U l l M 9 Z q K V X + 3 W / U Y P 8 g E x h a 8 r f v O l m H C z J j o 9 0 h 4 h I I U v K k b 3 Z 5 u N Q R 3 Z 0 o z v G M w r Z k h N k i F r E A h X Z s Y n u G I 0 o Y A t c N f C E r d J k C 3 0 d G U s o Z E t N s M 2 e H w c J s u M C 3 T E S U M i W m o C b U w E c 4 s e O 6 n P H O D 7 h p Q 8 J I H z h C F u N y R b 6 O j I K T 8 i W M g 4 F M w 4 z k y 3 0 d W Q M n Z A t C U J 8 0 R C 2 5 i Z b 6 O v I C D g h W 8 p 0 b 0 4 n S G i b R D S b O 8 a v C R h T J x i + L B h j C S N / F y u / C T 8 T M q Y s f c k s v b N N P f w 8 M n p M y J i y 9 S W z 9 c 4 2 9 v D z y O A v 4 R 0 v Z e 0 r Z u 2 d b e 7 h 5 5 G x W 0 L G l L 2 v m L 1 3 t s G H n 0 e G X g k Z U x a / Y h b f 2 S Y f f h 4 Z O S V g T J 3 H + J r Z f G c b f f h 5 Z O C T k D F l 9 W s K C W 2 z D z + P j F s S M q b s f s 3 s v r M N P / w 8 M u x I y J i y / A 2 z / N 6 2 / P D z y K g h 4 c V O Z f k b Z v m 9 b f n h 5 5 F B P 0 L G l O V v K M Z P g P y 7 W f 5 G W P 5 G W f 6 G W X 5 v W 3 7 4 e W T I j Y A x d V n F z 5 j l 9 7 b l h 5 9 H R s w I G V O W f 8 Y s v 7 c t P / w 8 M u B F y J i + 1 s w s v 7 c t P / w 8 M l 5 F e G l a W f 4 5 s / z e t v z w 8 8 h w E y F j y v L P m e X 3 t u W H n 0 d G i w g Z U 5 Z / z i y / t y 0 / / D w y 2 E P I m L 4 A z y x / Y V t + + H l k r I Z D A w U E V 9 C n c s U Y 3 v C H J e R 8 H 1 7 q h y X k a A 3 v 8 R N P 8 M M G p B E e 3 t m H r w f k F C r E M e r w g D 4 u U d h M i P c + T s k p T v O G 5 + 9 x C f F U Q Z 0 Z F R v k Y T 5 l D x r w S k 4 v 5 P R K T i / b U I J s D K 3 5 3 j x s Q M n p h Z x e y S l O O A p 1 w l E U z m a i 5 z F 6 C 5 1 + / h w + e F Z v n N m z Z v G S G T x c j t 8 q x 8 + T 8 Y v k 7 g 0 y f n Z 8 9 O j L y Y 7 t v g e G l 8 f x S 7 r + w T B / S R e + J 9 5 H O d k 9 A j a e 2 I W v h O O a + j n f p / Z z v k + N 5 3 z 7 J 7 5 f X 5 6 / 6 N 4 9 D o / s t + 9 9 9 8 9 4 g + e + X b G r / X t f 9 D j 4 u A s Y 0 3 b m 8 8 W L X r 9 a Y 3 i x e t F 1 / c X N q 4 2 W f N G d v N / u v n Q / f X r 5 q n v v v z g / 7 9 9 o d g 8 9 + 6 e p 5 8 s X i y 4 r w m 2 n T Z 1 N f H l 5 0 T U W P H Q c 3 v E O K r l 9 u d k 9 2 + w T r S y / X 5 3 / 7 / / 0 i i o 0 W D b z l + X 5 S / E 4 9 A + b b j z T H X 9 m d / x Z / j v K 7 Q + P 5 Q + n 8 o c z K z b M t X 7 n m Z W e f E s q M 0 X j v h v 3 b 0 + i n 7 e P R v b j v L g Q b 3 W 7 T / / V k 5 i s r 5 b 9 K 4 3 z a / W Y 5 e v L q 6 H y u l 0 S d 0 9 q r 1 o e V d G u s Z v V + m U f 8 W H V j f r 7 q s z n u w a c 8 c 2 r b 5 / 2 e v V 0 2 R q O x b q j M j k 5 O Q n i X e B H O F u h w 9 4 A I k c v b C y B o 4 J Q 3 K h E J C z 5 4 s W X t K D g P Z B 4 S j N 8 4 B f O N x U f q z u Y m w / o R s q e W K b y 9 / Q N 3 W c s Z U 6 X M Q l N w / f b w c P 6 6 8 1 S m Z 0 n 6 p A s S y K x E s y l l E y f F G d M g k m S k n m R 4 l R I M P t R M u F R n O M I p j V K Z j K K k x f B f E X J F E V x V i K Y i C i Z e y h O N w Q z D C W T C s V 5 h G D q o G S 2 o M 1 W J j P N j w g s J 2 P J h e H j o o h x o 4 L E 6 b h w d 4 m J Z s U o y o t K d F g c o r z Q Q 0 a 0 o a M d J N 3 g 2 e H f O / z 7 o B 3 Q y Z 9 / 6 o L 5 P A + A 3 B e L H o s l U V x n k P Y g L g X / j l + / v g s 6 e 7 A t d B R E l f l L 3 y 8 d B L x d 9 D I H 3 P 1 0 v n i 2 / H p x f r O 8 l x D p + O j x o v 3 j 7 0 f H m 1 p X 2 + p / W v 5 9 3 Q L R g D Y l 7 S h t x e T x 0 R f d y B 2 N o m d J 4 P i o a D a 7 c c i E u m G x p 6 s f V R F j J P x B Q + H S Y 5 H k i b J U Z I + Q T w 9 R P h u W v D 5 / 4 I p + 4 F K b j / 7 7 C f x q D F Z 5 0 G D 5 n I n D 2 a H c V N n j V O Z M p Q M 4 q L M 5 q L o + 6 N p u / 3 u 8 + Y v k p K / b s g I 3 h i J C 1 u T 6 p / N V b 9 z b 9 a A D Y q v O e r d Y 7 2 V o 3 M 6 6 Q o O q A J 5 q Y x f a 1 2 y R 4 9 B E 1 0 c f / t x a m 9 W r V f v j v U 6 I y X / e X K 6 X Z + u f W z o f X d + + 2 0 f e A 4 2 d O E b m x A d S x a G 8 A k P V n 9 l 8 3 2 5 V B j m 6 c r u j A L M X u m l A G Y p D v R H u w m J 5 8 7 T g 8 1 Q K a L L X R c 4 6 2 R 0 B T L q I U d 1 / t w b E m q P N Q X O 0 t R p H + x M H y 6 w m G M v q p j L f n D W 8 o / y u o / o J N a q X Z g f 1 U h n M 4 k Q X M Z Y o R / N s W 9 J i 6 e n x x c 3 5 O b U g R u j C n G C F O e E J c w I S 5 o Q g t I I O W m E G e W D B P B W s 8 l V w 3 q u g 1 a f D U c b u U C A 3 K O T R 7 k B v + 1 t u c E h Z 0 x / l B o k 8 C k 4 J F d X U W K m 6 e 7 p 0 D E + D s I m q h + j o h r V 2 p y G p g J J R r e B c x I K f H I 7 b 2 p O E N P I Y 1 + C B Y 2 D A b h L J c M I m o h 6 x N + g c T K 8 1 o e 5 c 4 I f L v w W j b M j M Q X a C y 6 y O Z 4 f l B k M c 2 w L e s w Y h z Y Q p 6 g j M 3 / n z X t t E t 4 O z n 0 x G X 3 B k n e A 4 a 3 B y f E S K p X y o 3 b k y c 4 Y n h w 1 T X A P s A f a 3 A 2 Q 6 a v o h C i 3 X Y P G E 9 + Z s H 0 j q + e r 2 Z F 8 q c u k 8 v i G l I j / P a f g S c y h n j M J h 4 L J z s y c R y 7 + C u y l z 4 E f A V 9 9 s B n 6 E e O 3 w n n S D E X z u i F x E 4 5 w n f K s D i a Z G + B Z a V T E a g 4 7 X 9 s e T i 6 u h A H H k f b L / V 1 w s d G X t / m 4 p 5 2 G Y 3 p V p q / V J x P G e G c 5 L P p r v L k q k z N V o + s U 0 n / 4 8 O T n z P U c G R / n n n t 3 F k J S 5 e O s M f E O 2 b M Q + q B g O L W j f n 8 X o P j E S j 8 V P m 0 p k e B 7 H e w A + W K d y 8 R w x e E / 0 r 4 E o o w b 1 C f 0 Y y J k 3 5 k / 0 r 0 E n 5 B r v J 1 B H j P l 6 4 M F 8 x s 6 I + a g N Z v K P 5 I u M M / k 0 A 6 a I 9 Y g p I 0 7 j t V f + c 8 F C 9 j W p a H z E P a k E + / r K V L d I H 8 N 7 U n s X U 4 a f x 3 Y s p I 8 1 E + d 5 + q Q F n a G g 0 x F 8 7 o F P N N i Z B T u V 4 O c O a k O s N m E A 8 g N 8 D 8 A 8 R O 4 W d r T A o I X t Y o Q W o o + x V 0 r C c w J p / E M L H x t x b J Z N C 4 t t J r O B e g 6 + v X v w L 3 v 3 4 P j t H b / f 8 h 2 / t 7 f O f r O 3 z u w E m 6 m U m l Y S T T N t 5 r / H b T c D + f J j 6 S Q + T A L x X 3 + V M w T L v 7 1 R Z F z f + K e K k n 8 2 3 c W t y D t s e R O o I H M / 0 4 z Y z 2 z O s e + A U 5 7 g U p 8 9 N H e j B x 4 8 N x n 3 x H 4 t 1 G N I w 0 8 q g e D p K 2 a / v g S 7 h z f X X W + 3 w 3 e 5 D K 9 4 f n T 5 6 u n q w t K b W b f p F E v 1 E 2 P 5 f G I s a U + M Z S Y w 3 L 8 c b 9 i 6 2 v K X u s b 0 x e X F 8 t 3 j b R t d x j S 7 A 5 z R A 7 j H 2 k 6 A A A U i D g g h I C a A i z x c t e F y q N e 3 g / t u a O o 6 0 X F + b M d 1 J 4 9 p F J e E a E n 8 l Q R X S e S U h E V J 7 G E D i 4 N H R j d 7 x A 0 U d 1 + Q 8 W x p t v + z r F Q w q 3 Y q d 4 3 l z V 2 4 Z i M W r s 0 l n l E v E E 4 t y G b c k u X O l 4 Q 4 m d g g g S F N I v P 8 P u t i V X V 3 7 w 7 Y l H 2 u f j 4 6 P M 3 y 0 a d d i c l y / W z j x M 4 7 c v g S f T z a J k 3 O P 7 d 6 m O H 2 M p T h w H P 0 b K / c P 3 Z H l X 0 8 7 Y z j a d B H v 6 k j 6 b f H x 3 n H x x k z 6 / j f + t w 4 M U X l L j U 1 Z c N d r D V 9 o x 2 u e T p y x / N q v p c 7 f h M H 0 o H d p / b 8 + O 3 Z 8 t u z 5 Z y z Z Q B J 9 v v F L F S a Q o S 7 p f G r 1 Y / 9 U n j d R f p Z h g n s z 9 p f 0 k d 3 w z 2 L W F e f d E v o y Y P l 9 b N B o S 3 I w a / a K M 5 S I G O 0 N o 0 Z l U G E n Q C r 6 4 w H m k D Y 4 8 n 0 e N J L M c F i T F 4 f v C Y a L E 6 S N 5 o i g d r m + x 1 S H w g G 7 p E m h 2 6 S 4 q d F A e A k b 6 e w M P 1 7 T x P q h K + h 3 l l d E O q / f + e d 6 x 8 W r d G Y P P z 0 6 0 c t L + f L d V + 0 i 8 T T / v O j 6 9 u T B 5 f P b l 5 1 S W E / X v V n A B f 9 K n r v 6 H 4 X S O f 6 / v r H 5 d O n S 3 f / s 9 X T q 8 X V z / c / O m 9 X p L P 1 5 d X i x f L + k 4 v l g 6 v V 7 f K 9 j 1 u 7 d N X h w F a E h 8 t u w 3 C 9 P N u u b i 9 W 7 Q 8 X y 4 v t D 5 3 i n 6 1 P P r l 5 u r x a 3 1 z f f 9 h + v G q n 8 n u T R 3 9 q y f 9 t 9 f L l s g v x c / / R R W s i 2 u K 3 / S J y 3 0 9 9 d f / Z 9 e 2 g 0 u 3 w X N z v x O r / 6 L 6 d t N / a j f T k m 9 0 G v B W x 3 4 J v 8 G 7 7 T 1 c 0 x 5 M / X j y 7 7 I P + f D C p q + n U h X v 0 9 j e x Y f / r b n A / W S 4 6 y f p H 0 O 1 w t d O t X 6 V v l 4 u b / U B / e X X 5 q q 2 / K X u v 6 + m W p c 2 v p + f n Z 8 8 W 5 + 0 Y f r C + u g m a R u F 0 A p V + d X k b 7 A 4 t P l p D 8 c c u i + / 5 4 v n V o K 9 + I n 7 Y x n 0 a 8 O 4 2 5 l N / v A 0 T t I d 1 v l O B D m k 9 E b F L 1 O N J 6 O M A W S o j L a 0 X x 8 V S S T R p P Z F m U d T b J w x P J J L V m f p 4 1 8 j M W b I m 7 x y R 8 U P n y K E 1 R d o O l Y m F d 5 B K v S F V g K e V F x F P d T R 8 W l M G O 5 c 1 e V p 5 G f t Y 1 u R p 5 W U Y V F m T p 5 W X E R F F z S G + G q o Y 6 1 A h O 6 j g H S S C v M k O K n g H x T p U y A 4 q e A e J s H G y g z Y x 1 5 E e x C q k g r G X P F N 8 r E K l 7 K G S Z 4 q P V a h U F o h n i o 9 V S A V C L 3 m m + F i F S t l D J c 8 U H 6 t Q K X u o 4 j 0 U 6 5 A K Q l 7 x H o p 1 q J I 9 V P E e i n W o k j 1 U 8 R 6 K d U g F A K 9 4 D w 1 K 9 A 8 K O h i G F N R B A Y N X Q F Y u + e g h k J V 0 N H o L Z K d k O y w i Y T L w o B m y M P 5 w 1 6 g z O H R g z r P e l + e L 6 + t 2 u 3 j A + 9 6 h A b d v Q j 1 l T T 7 0 H Z r w V h O p F 7 + K C / 3 A L P 3 0 V / G B r 5 G D b n Y c U 9 r R d n b v i n + F G J Q H R i e A 4 m 3 U i L 6 A H r p u 0 R 3 y n s D H s Q e + U 0 9 E K n h t v 7 C O u E K v Q q 3 m j S v w i W f T r + 0 X 3 B F X 2 S r m D 1 O x + g g 8 l z 6 + Y 7 j N v A 4 0 7 t x A + Y L 3 1 l Y E A v b 8 2 m L F 8 K L a E g R P j l M 8 j d U v w 0 t p i x K + s k 3 w l K 1 d x W H a N T / a v 2 s d + x h / l H Y U 4 R N T i Q + e b n 3 d t 5 f n L 7 r w X Z c / v V j c D o e Z s U U C 7 3 8 B s f K w z n D b z r j j o / j p q J 7 p o O T r 1 w w R p b v m x + Q T 6 h A 2 p d t b W I + t A f / V g Z 0 9 3 f b 2 r / n G H f L b a a L x E n j T h U T z j u U b Q j I M x / I 9 I O 3 e 4 / h B I D s y T Z 6 Y p l 6 3 v 3 5 N w e L x 5 N H F u i 5 P u q Y 2 t x c Y K C R F E f h L t x q 5 K k X h U + P b Y 0 r i L C G S t K p W s Z Q g 1 8 L x D Q t p m G A X T B G V E C 0 9 H o z 0 1 m 3 Q 7 x R / W l y v J 6 v 1 8 t V k f b l U d y d P n z / f R W g T W n m 8 c z h F 3 t P l 4 t k P k 2 + I v v 3 1 P 7 6 h C r b 7 B j Q K 1 d t L h 2 q C r 6 I D 5 e + K l h r A 3 Z d o / O N f V S t C 7 9 r f z / Y V H + 9 L 7 7 X + r 6 n h C X 0 7 4 Q D x 8 W z H 6 p N V 7 0 3 p / C p b b s R o v Y G + Z X 0 V / a 4 l / a S P l d q a r t 6 H 0 3 K Y b / u s T u q X V + F k F 3 M m d m P 2 5 D t / + 3 r 1 a v j e O V K O Z E A + f e s n / v 4 k c v P H 3 4 R T X 1 N E c 0 o w j Y c y n O D t e F + c H x 3 g w D R G I s e R y Z c Z c 2 E x l 5 L E 4 p E w e 9 R 4 U u N r m G 9 i / s n S Q R e e + N I Q u S E E F Q E O / Q j X P n T 9 5 n r z 7 5 I b Q 7 v 2 J 2 p q y v s v m 7 m 3 A 2 f H J F X G W 5 V 7 Q y q H F 3 R i b o S V k 1 G 4 9 x 7 4 l N L s P f L b O 5 b L i 8 E v / 7 v Q M R 9 d y L / 3 + t M H n x 9 P P n 3 w W f f H a f f H V 7 d f f H j c 5 a z 5 5 d 3 f t c T 3 d f f t d 0 f s T 1 v R n m + 8 5 Y D K x 5 e d p / 6 k c / x f 3 z v 6 6 P 1 v e 5 f / t 4 P L / 9 u t c 3 / y 3 m T n 3 u / F 2 j r 4 J 8 L D 3 1 0 V D H 3 8 k 7 P 1 y W T r 5 f + W e f m / j b 3 8 3 0 Y O / m 8 / X C 3 P l 6 / a Q b h a f v 9 9 / w p k k O C L x e 2 q v 3 j q W j k 6 c V 5 P f / l m c 3 n h r / s u 2 R f b d 8 y X i 6 t 2 C 9 H y 2 F V V v d R + W U y + e X S 9 K / W f N 8 u r n 3 t v / f H k w 9 X F 4 u r n R y 1 j 6 9 X 3 r a J 8 I K s f T 7 o l 6 Y O j o W C 3 T o m G v l r + v 5 t V y 8 X g / t 8 z 9 X + O F C f r L Q b o L M A R G L 5 / i d s b 9 / y 7 d 7 n A I c b 3 / o e P / v g Z v 8 v x + 6 P w L k f R + A P u c v z u 1 7 v M s d c 7 u / l 2 2 L + Z f H x z 8 W y 9 u r z o 1 e L D 1 c V G i K P X R 0 f L v y 9 f t V D j 6 u N 2 8 G / O F 9 2 O 9 + j o / a O U i h z 9 c j T 5 6 1 6 h P m R 6 d O / d y Q f / 9 6 0 2 / Y a 0 i R u R t k N D 0 / H W 8 H e W 2 L d V W V + N s / + k l V 9 t G Z D j + X b y / v t P 3 l 9 h K e j V J G c 5 2 O r T 2 y X h t 6 Z V m 3 E X 4 v 8 G r w C P G + D 4 N n A x n U Y D 7 H z l c y 8 D j 3 J b 9 O P 6 + v X R 8 J v O e j H 8 7 s n v B f m 9 J L 9 X 5 P e a / N 6 Q 3 2 f k 9 z n 5 v b + g B T 8 w i R 0 T 2 T G Z H R P a M a k d E 9 s x u R 0 T 3 D H J P Z P c 0 7 F m k n s m u W e S e y a 5 Z 5 J 7 J r l n k n s m e c E k L 5 j k B V V z J n n B J C + Y 5 A W T v G C S F 0 z y g k l e M s l L J n n J J C / p D G e S l 0 z y k k l e M s l L J n n J J K + Y 5 B W T v G K S V 0 z y i h o 3 J n n F J K + Y 5 B W T v G K S 1 0 z y m k l e M 8 l r J n n N J K + p X W e S 1 0 z y m k l e M 8 k b J n n D J G + Y 5 A 2 T v G G S N 0 z y h i 5 p T P K G S d 4 w y W d M 8 h m T f M Y k n z H J Z 0 z y G Z N 8 x i S f 0 d W c S T 5 j k s + Z 5 H M m + Z x J P m e S z 5 n k c y b 5 n E k + Z 5 L P K Z D h S I Z C m S n F M l M K Z q Y U z U w p n J l S P D O l g G Z K E c 2 U Q p o p 7 Q M D z t E + 4 I C O I z o O 6 T i m 4 6 C O o z o O 6 y i u c x T Y O Y r s H I V 2 j m I 7 R 8 G d o + j O U X j n K L 5 z F O A 5 i v A c h X i O Y j x H Q Z 6 j K M 9 R m O c o z n M U 6 D m K 9 B y F e o 5 i P U f B n q N o z 1 G 4 5 y j e c x T w O Y r 4 H I V 8 j m I + R 0 G f o 6 j P U d j n K O 5 z F P g 5 i v w c h X 6 O Y j 9 H w Z + j 6 M 9 R + O c o / n M U A D q K A B 2 F g I 5 i Q E d B o K M o 0 F E Y 6 C g O d B Q I O o o E H Y W C j m J B R 8 G g o 2 j Q U T j o K B 5 0 F B A 6 i g g d h Y S O Y k J H Q a G j q N B R W O g o L n Q U G D q K D B 2 F h o 5 i Q 0 f B o a P o 0 F F 4 6 C g + d B Q g O o o Q H Y W I j m J E R 0 G i o y j R U Z j o K E 7 0 F C d 6 i h M 9 x Y m e 4 k R P c a K n O N F T n O g p T v Q U J 3 q K E z 3 F i Z 7 i R E 9 x o q c 4 0 V O c 6 C l O 9 B Q n e o o T P c W J n p / / 8 Q N A 4 w S Q 9 g E / A + S H g P w U k B 8 D 8 n N A f h B I c a K n O N F T n O g p T v Q U J 3 q K E z 3 F i Z 7 i R E 9 x o q c 4 0 V O c 6 A V O / O V O s U P A L f R k I J H D n u T a E U V e H 8 k w n U E Q o d 3 L E f 3 U J n 5 B Y r S x e 1 W i 2 4 h f l x h t B C 9 O w K M f 8 c w 2 / S 4 G X 9 f c / D s p T x z O D o k l U 1 G Z j 4 8 O f 7 Y r Y 8 E s Z T A Y d Q k y e s 8 e v D v n U W M e L p 9 e d j d d + 7 u s Q d C G 3 e v 9 p x s X 3 b 7 p j J g y o F W f a D U j 4 g x o t U i 0 m h G P B r R a J l r N i F Y D W q 0 S r e b E s g H N 1 o l m s y L d g H a b R L t Z c X B A u 7 N E u 1 l R c k C 7 8 0 S 7 W T F 0 0 H S Y p u Z D V o g d 1 H J y p m W F 4 E E t p 2 a b y w r R g 1 p O z T i X F c I H t Z y a d S 4 r x A 9 q O T X z N k q W X A p i o 6 o b l O X F 8 O H I Q o j h T T C h v T n 0 s m r B z O w m e F C a O W F w c S Q h Z H I 3 s Y P S F G J N G A I M h R T m z P x u Q g q l K Y i I P T i + E D L F m 4 h C a Q o i s k 8 p K V T M K m 8 C D a U p x P a Z R B 1 C 9 n k T Z y h N Q U Q K m g o K Q 9 A h Z K k 3 4 Y f S F E R E I R y L C N n s T f S h N A U R e a i W F B p q v T d R i T J m a 2 z H K z l d a 2 7 H v 6 u J K V c 0 4 n l d y 3 l d s 3 n t / H d 1 5 s Q W t r 1 W q I d a 4 O K 7 O n N q C y t f y 7 l d s 7 n t y u + a z M k t 7 H 0 j Z 3 d D V 7 / q u y Z z e l P L f 2 P i 6 O 8 a a Q g a Z g h c 9 O r p 4 f J y + X 2 3 7 x j e m D 3 7 Y f V y T T i 9 g X C 7 k Z r f M M 3 3 S c L f N W x m 3 E B Q 3 s g Z M W M z o k j T n r E Z c w O h + 0 z O l B m b K W U G b T a T b i D A n 8 k Z N G M z q M q g z W b Y D d w G z O T M m r G Z V a d p z 9 n M u 4 F 7 h b m c c X O 6 V 8 i g z W b k D d x P z O U E m 7 M J N s u g z Z b i G 7 j n m M s 1 e M 7 W 4 H k G b b Z I 3 + B 9 y V Q u z 8 O l B b y 2 p c k P F x t M + y K 2 L 1 O 1 k 5 v S z U D a u H 0 3 3 I U w G R A H C l N p 4 o a r E X h V z G E g Z e X E g j n c q o g Y o J t v l 2 H p H N v n 7 R m I b d 1 w E S N m g O K C D H P n 2 N Z q z 0 A p G F C 7 b r r t d h k 2 b 7 j X Y T J A 1 u E 4 m i J a i Y e b I T G v F H y I p 8 a Y W U + s Z M C L 0 F i 1 M X d 0 Z + 7 z W C D G M m B B 6 K y X 9 n K 4 e 4 I X 5 y w W i M 0 M W B B a q z b k j u 7 I y z w W i O k M W B B 6 W y j j W T D j W W W x U B D r G b B Q C R a U + S y Y + a z z W C D 2 M 2 B B H P E V y o A W z I A 2 e S w Q C x q w I E 8 D l Q k t m Q m d Z b F Q E h s a s C A O D k t l R E t m R O d 5 L B A r G r A g 1 n I V f H i 4 7 k P W 8 i w e i C E N b Z N Y z 0 t l H 0 t q H / M M Z J V h I I W F V I G N h 8 t F Z E 3 P Y i J t I u W 6 X i k b W d F d W 5 6 R r N J G U q 7 t K m j y c J W J r O 1 Z T K T N p F z f a 2 U n a w o y 8 w x l n T a U m 2 P Y f 0 w I 6 C 5 n 0 i 4 + y 6 7 Y 9 b r 9 6 X r 4 K Q w S 3 b 2 V m 3 T h P P r N + M P L 5 f O X y 5 u r u E b 3 / y 8 f f P z + Z O d N l A / 0 u h J R u G k W J 8 8 l g 0 W x M M u p K F A 8 t t x h s e p 0 o j B R w I w S 9 U a y 3 M m u O 0 6 G 4 + l e E f b 6 b o b j u U M + t F 0 4 m f v r f c 6 s f 1 7 i o j c Z 7 O j 1 P 6 v 3 j u 0 s Y z x N 0 6 G J 3 Z M 5 m 0 w R m Y R h P C H F 6 e / / P 1 B L A w Q U A A A I C A B Z b Z V Z U 3 I 4 L J s A A A D h A A A A E w A A A F t D b 2 5 0 Z W 5 0 X 1 R 5 c G V z X S 5 4 b W x t j j 0 O w j A M R q 8 S e W 9 d G B B C T R m A G 3 C B K L g / o n G i x k X l b A w c i S u Q t m t H f 3 7 P n 3 + f b 3 m e X K 9 e N M T O s 4 Z d X o A i t v 7 R c a N h l D o 7 w r k q 7 + 9 A U S W U o 4 Z W J J w Q o 2 3 J m Z j 7 Q J w 2 t R + c k T Q O D Q Z j n 6 Y h 3 B f F A a 1 n I Z Z M 5 h t Q l V e q z d i L u k 0 p X m u T D u q y c n O V B q F J c I l x 0 3 B b f O h N x 4 u B y 8 P V H 1 B L A Q I U A x Q A A A g I A F l t l V n B P l 7 o p A A A A P c A A A A S A A A A A A A A A A A A A A C k g Q A A A A B D b 2 5 m a W c v U G F j a 2 F n Z S 5 4 b W x Q S w E C F A M U A A A I C A B Z b Z V Z N q i e I u i 7 A A A / D Q Y A E w A A A A A A A A A A A A A A p I H U A A A A R m 9 y b X V s Y X M v U 2 V j d G l v b j E u b V B L A Q I U A x Q A A A g I A F l t l V l T c j g s m w A A A O E A A A A T A A A A A A A A A A A A A A C k g e 2 8 A A B b Q 2 9 u d G V u d F 9 U e X B l c 1 0 u e G 1 s U E s F B g A A A A A D A A M A w g A A A L m 9 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r L S A g A A A A A A k N I C A O + 7 v z w / e G 1 s I H Z l c n N p b 2 4 9 I j E u M C I g Z W 5 j b 2 R p b m c 9 I n V 0 Z i 0 4 I j 8 + P E x v Y 2 F s U G F j a 2 F n Z U 1 l d G F k Y X R h R m l s Z S B 4 b W x u c z p 4 c 2 k 9 I m h 0 d H A 6 L y 9 3 d 3 c u d z M u b 3 J n L z I w M D E v W E 1 M U 2 N o Z W 1 h L W l u c 3 R h b m N l I i B 4 b W x u c z p 4 c 2 Q 9 I m h 0 d H A 6 L y 9 3 d 3 c u d z M u b 3 J n L z I w M D E v W E 1 M U 2 N o Z W 1 h I j 4 8 S X R l b X M + P E l 0 Z W 0 + P E l 0 Z W 1 M b 2 N h d G l v b j 4 8 S X R l b V R 5 c G U + R m 9 y b X V s Y T w v S X R l b V R 5 c G U + P E l 0 Z W 1 Q Y X R o P l N l Y 3 R p b 2 4 x L 0 Z T R D w v S X R l b V B h d G g + P C 9 J d G V t T G 9 j Y X R p b 2 4 + P F N 0 Y W J s Z U V u d H J p Z X M + P E V u d H J 5 I F R 5 c G U 9 I k 5 h d m l n Y X R p b 2 5 T d G V w T m F t Z S I g V m F s d W U 9 I n N O Y X Z p Z 2 F 0 a W U 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N l Y z M 3 Y T g w Y i 1 l N 2 M 5 L T R k N z Y t O T k z Z C 0 w Z D V l Y j Y 0 N T g z N G Y i I C 8 + P E V u d H J 5 I F R 5 c G U 9 I l J l Y 2 9 2 Z X J 5 V G F y Z 2 V 0 Q 2 9 s d W 1 u I i B W Y W x 1 Z T 0 i b D E i I C 8 + P E V u d H J 5 I F R 5 c G U 9 I l J l Y 2 9 2 Z X J 5 V G F y Z 2 V 0 U 2 h l Z X Q i I F Z h b H V l P S J z R l N E I i A v P j x F b n R y e S B U e X B l P S J S Z W N v d m V y e V R h c m d l d F J v d y I g V m F s d W U 9 I m w 2 I i A v P j x F b n R y e S B U e X B l P S J O Y W 1 l V X B k Y X R l Z E F m d G V y R m l s b C I g V m F s d W U 9 I m w w I i A v P j x F b n R y e S B U e X B l P S J C d W Z m Z X J O Z X h 0 U m V m c m V z a C I g V m F s d W U 9 I m w x I i A v P j x F b n R y e S B U e X B l P S J G a W x s T 2 J q Z W N 0 V H l w Z S I g V m F s d W U 9 I n N U Y W J s Z S I g L z 4 8 R W 5 0 c n k g V H l w Z T 0 i U m V z d W x 0 V H l w Z S I g V m F s d W U 9 I n N U Y W J s Z S I g L z 4 8 R W 5 0 c n k g V H l w Z T 0 i R m l s b F R h c m d l d C I g V m F s d W U 9 I n N G U 0 Q i I C 8 + P E V u d H J 5 I F R 5 c G U 9 I k x v Y W R U b 1 J l c G 9 y d E R p c 2 F i b G V k I i B W Y W x 1 Z T 0 i b D A i I C 8 + P E V u d H J 5 I F R 5 c G U 9 I k Z p b G x M Y X N 0 V X B k Y X R l Z C I g V m F s d W U 9 I m Q y M D I 0 L T E y L T I x V D E y O j Q y O j Q 3 L j U y N j Q z O T B a I i A v P j x F b n R y e S B U e X B l P S J G a W x s R X J y b 3 J D b 3 V u d C I g V m F s d W U 9 I m w w I i A v P j x F b n R y e S B U e X B l P S J G a W x s Q 2 9 s d W 1 u V H l w Z X M i I F Z h b H V l P S J z Q m d Z R 0 J n W U d C Z 1 l E Q X d N R E F 3 T U R B d 1 l H Q m d N R E F 3 T U R B d 1 l H Q X d N R E F 3 T U R B d 0 1 E Q m d Z R E J n T U d B d 1 l E Q m d N R E F 3 T U d C Z 1 l E Q n d j R 0 J n W U d C Z 1 l E Q m d Z R 0 J n W U d B d 1 l H Q m d Z R C I g L z 4 8 R W 5 0 c n k g V H l w Z T 0 i R m l s b E V y c m 9 y Q 2 9 k Z S I g V m F s d W U 9 I n N V b m t u b 3 d u I i A v P j x F b n R y e S B U e X B l P S J G a W x s Q 2 9 s d W 1 u T m F t Z X M i I F Z h b H V l P S J z W y Z x d W 9 0 O 0 t y a W 5 n Z G F n J n F 1 b 3 Q 7 L C Z x d W 9 0 O 1 Z l c i 5 u c i Z x d W 9 0 O y w m c X V v d D t O Y W F t I H Z l c m V u a W d p b m c m c X V v d D s s J n F 1 b 3 Q 7 R G V s Z W d h d G l l J n F 1 b 3 Q 7 L C Z x d W 9 0 O 0 1 1 e m l l a 2 t v c n B z I G J p a i B t Y X J z I G V u I G R l Z m l s X H U w M E U 5 J n F 1 b 3 Q 7 L C Z x d W 9 0 O 0 R l Z W x u L i B q Z X V n Z G t v b m l u Z 3 N j a G l l d G V u J n F 1 b 3 Q 7 L C Z x d W 9 0 O 0 1 h a i 4 g U 2 V u a W 9 y Z W 4 g a n V y Z X J l b i B i a W o g b W F y c y Z x d W 9 0 O y w m c X V v d D t N Y W o u I E p l d W d k I G p 1 c m V y Z W 4 g Y m l q I G 1 h c n M m c X V v d D s s J n F 1 b 3 Q 7 S 2 9 y c H M g c 2 V u a W 9 y Z W 4 m c X V v d D s s J n F 1 b 3 Q 7 S n V u a W 9 y Z W 4 g a 2 9 y c H M g M S Z x d W 9 0 O y w m c X V v d D t K d W 5 p b 3 J l b i B r b 3 J w c y A y J n F 1 b 3 Q 7 L C Z x d W 9 0 O 0 F z c G l y Y W 5 0 Z W 4 g a 2 9 y c H M g M S Z x d W 9 0 O y w m c X V v d D t B c 3 B p c m F u d G V u I G t v c n B z I D I m c X V v d D s s J n F 1 b 3 Q 7 Q W N y b 2 J h d G l z Y 2 g g c 2 V u a W 9 y Z W 4 m c X V v d D s s J n F 1 b 3 Q 7 Q W N y b 2 J h d G l z Y 2 g g a n V u a W 9 y Z W 4 m c X V v d D s s J n F 1 b 3 Q 7 Q W N y b 2 J h d G l z Y 2 g g Y X N w a X J h b n R l b i Z x d W 9 0 O y w m c X V v d D t T a G 9 3 I H N l b m l v c m V u J n F 1 b 3 Q 7 L C Z x d W 9 0 O 1 N o b 3 c g a n V u a W 9 y Z W 4 m c X V v d D s s J n F 1 b 3 Q 7 U 2 h v d y B h c 3 B p c m F u d G V u J n F 1 b 3 Q 7 L C Z x d W 9 0 O 1 N l b m l v c m V u I G l u Z G l 2 L i Z x d W 9 0 O y w m c X V v d D t K d W 5 p b 3 J l b i B p b m R p d i 4 m c X V v d D s s J n F 1 b 3 Q 7 Q X N w a X J h b n R l b i B p b m R p d i 4 m c X V v d D s s J n F 1 b 3 Q 7 U 2 V u L i B p b m Q g b 3 B n Z W d l d m V u I G 5 h b W V u J n F 1 b 3 Q 7 L C Z x d W 9 0 O 0 p 1 b i 4 g a W 5 k I G 9 w Z 2 V n Z X Z l b i B u Y W 1 l b i Z x d W 9 0 O y w m c X V v d D t B c 3 A u I G l u Z C B v c G d l Z 2 V 2 Z W 4 g b m F t Z W 4 m c X V v d D s s J n F 1 b 3 Q 7 S G 9 v Z m R r b 3 J w c y Z x d W 9 0 O y w m c X V v d D s y Z S B r b 3 J w c y Z x d W 9 0 O y w m c X V v d D t H c m 9 l c G V u L C B 0 Z W F t c y w g Z W 5 z Z W 1 i b G V z I G V u I G R 1 b 1 x 1 M D A y N 3 M m c X V v d D s s J n F 1 b 3 Q 7 U 2 V u a W 9 y Z W 4 m c X V v d D s s J n F 1 b 3 Q 7 S m 9 u Z y B 2 b 2 x 3 Y X N z Z W 5 l J n F 1 b 3 Q 7 L C Z x d W 9 0 O 0 p 1 b m l v c m V u J n F 1 b 3 Q 7 L C Z x d W 9 0 O 0 F z c G l y Y W 5 0 Z W 4 m c X V v d D s s J n F 1 b 3 Q 7 T 3 B n Z W d l d m V u I H N l b m l v c m V u J n F 1 b 3 Q 7 L C Z x d W 9 0 O 0 9 w Z 2 V n Z X Z l b i B q b 2 5 n I H Z v b H d h c 3 N l b m U m c X V v d D s s J n F 1 b 3 Q 7 T 3 B n Z W d l d m V u I G p 1 b m l v c m V u J n F 1 b 3 Q 7 L C Z x d W 9 0 O 0 9 w Z 2 V n Z X Z l b i B h c 3 B p c m F u d G V u J n F 1 b 3 Q 7 L C Z x d W 9 0 O 0 1 h c m t l d G V u d H N 0 Z X J z J n F 1 b 3 Q 7 L C Z x d W 9 0 O 0 x 1 Y 2 h 0 Z 2 V 3 Z W V y J n F 1 b 3 Q 7 L C Z x d W 9 0 O 0 F h b n R h b C B s d W N o d G d l d 2 V l c n N j a H V 0 d G V y c y Z x d W 9 0 O y w m c X V v d D t M d W N o d H B p c 3 R v b 2 w m c X V v d D s s J n F 1 b 3 Q 7 Q W F u d G F s I G x 1 Y 2 h 0 c G l z d G 9 v b H N j a H V 0 d G V y c y Z x d W 9 0 O y w m c X V v d D t I Y W 5 k Y m 9 v Z y Z x d W 9 0 O y w m c X V v d D t B Y W 5 0 Y W w g a G F u Z G J v b 2 d z Y 2 h 1 d H R l c n M m c X V v d D s s J n F 1 b 3 Q 7 S 3 J 1 a X N i b 2 9 n J n F 1 b 3 Q 7 L C Z x d W 9 0 O 0 F h b n R h b C B r c n V p c 2 J v b 2 d z Y 2 h 1 d H R l c n M m c X V v d D s s J n F 1 b 3 Q 7 T H V j a H R n Z X d l Z X I g a m V 1 Z 2 Q g b m l l d C B v d W R l c i B k Y W 4 g M T c g a m F h c i 4 m c X V v d D s s J n F 1 b 3 Q 7 Q W F u d G F s I G t v c n B z Z W 4 m c X V v d D s s J n F 1 b 3 Q 7 T 3 B n Z W d l d m V u I G p l d W d k a 2 9 y c H N l b i B M R y Z x d W 9 0 O y w m c X V v d D t U b 3 R h Y W w g Y W F u d G F s I G R l Z W x u Z W 1 l c n M m c X V v d D s s J n F 1 b 3 Q 7 V 2 F h c n Z h b i B h Y W 5 0 Y W w g a m V 1 Z 2 Q g K H Q v b S A x N S B q Y W F y K S Z x d W 9 0 O y w m c X V v d D t L Y W 5 v b i B l d G M u J n F 1 b 3 Q 7 L C Z x d W 9 0 O 1 B h Y X J k Z W 4 g Z W 4 v b 2 Y g a 2 9 l d H N l b i Z x d W 9 0 O y w m c X V v d D t U b 2 V s a W N o d G l u Z y 9 v c G 1 l c m t p b m d l b i Z x d W 9 0 O y w m c X V v d D t J b n p l b m R p b m c t S U Q m c X V v d D s s J n F 1 b 3 Q 7 S W 5 6 Z W 5 k Z G F 0 d W 0 m c X V v d D s s J n F 1 b 3 Q 7 R G F 0 Z S B V c G R h d G V k J n F 1 b 3 Q 7 L C Z x d W 9 0 O 0 5 h Y W 0 g d m F u I G h l d C B o b 2 9 m Z G t v c n B z J n F 1 b 3 Q 7 L C Z x d W 9 0 O 1 p h b C B v c C B 0 c m V k Z W 4 g Y W x z I C h o b 2 9 m Z G t v c n B z K S Z x d W 9 0 O y w m c X V v d D t W b 3 J t I H Z h b i B 0 d 2 V l I G 1 1 e m l l a 3 d l c m t l b i A o a G 9 v Z m R r b 3 J w c y k m c X V v d D s s J n F 1 b 3 Q 7 W m F s I H V p d G t v b W V u I G l u I G R l O i A o a G 9 v Z m R r b 3 J w c y k m c X V v d D s s J n F 1 b 3 Q 7 T X V 6 a W V r d 2 V y a z E g K G h v b 2 Z k a 2 9 y c H M p J n F 1 b 3 Q 7 L C Z x d W 9 0 O 0 1 1 e m l l a 3 d l c m s y I C h o b 2 9 m Z G t v c n B z K S Z x d W 9 0 O y w m c X V v d D t L b 3 J w c y B i Z X N 0 Y W F 0 I H V p d C A u L i 4 g Z G V l b G 5 l b W V y c y A o a G 9 v Z m R r b 3 J w c y k m c X V v d D s s J n F 1 b 3 Q 7 T m F h b S B 2 Y W 4 g a G V 0 I D J l I G t v c n B z J n F 1 b 3 Q 7 L C Z x d W 9 0 O 1 p h b C B v c C B 0 c m V k Z W 4 g Y W x z I C g y Z S B r b 3 J w c y k m c X V v d D s s J n F 1 b 3 Q 7 V m 9 y b S B 2 Y W 4 g d H d l Z S B t d X p p Z W t 3 Z X J r Z W 4 g K D J l I G t v c n B z K S Z x d W 9 0 O y w m c X V v d D t a Y W w g d W l 0 a 2 9 t Z W 4 g a W 4 g Z G U 6 I C g y Z S B r b 3 J w c y k m c X V v d D s s J n F 1 b 3 Q 7 T X V 6 a W V r d 2 V y a z E g K D J l I G t v c n B z K S Z x d W 9 0 O y w m c X V v d D t N d X p p Z W t 3 Z X J r M i A o M m U g a 2 9 y c H M p J n F 1 b 3 Q 7 L C Z x d W 9 0 O 0 t v c n B z I G J l c 3 R h Y X Q g d W l 0 I C 4 u L i B k Z W V s b m V t Z X J z I C g y Z S B r b 3 J w c y k m c X V v d D s s J n F 1 b 3 Q 7 T W V j a G F u a X N j a G U g b X V 6 a W V r J n F 1 b 3 Q 7 L C Z x d W 9 0 O 0 9 u Z G V y Z G V s Z W 4 m c X V v d D s s J n F 1 b 3 Q 7 U 2 V j d G l l c y Z x d W 9 0 O y w m c X V v d D t M Z W V m d G l q Z H N j Y X R l Z 2 9 y a W U m c X V v d D s s J n F 1 b 3 Q 7 Q W F u d G F s I G 9 w Z 2 V n Z X Z l b i B t Y W p v c m V 0 d G V z J n F 1 b 3 Q 7 X S I g L z 4 8 R W 5 0 c n k g V H l w Z T 0 i R m l s b E N v d W 5 0 I i B W Y W x 1 Z T 0 i b D E 5 I i A v P j x F b n R y e S B U e X B l P S J G a W x s U 3 R h d H V z I i B W Y W x 1 Z T 0 i c 0 N v b X B s Z X R l I i A v P j x F b n R y e S B U e X B l P S J B Z G R l Z F R v R G F 0 Y U 1 v Z G V s I i B W Y W x 1 Z T 0 i b D A i I C 8 + P E V u d H J 5 I F R 5 c G U 9 I l J l b G F 0 a W 9 u c 2 h p c E l u Z m 9 D b 2 5 0 Y W l u Z X I i I F Z h b H V l P S J z e y Z x d W 9 0 O 2 N v b H V t b k N v d W 5 0 J n F 1 b 3 Q 7 O j c 1 L C Z x d W 9 0 O 2 t l e U N v b H V t b k 5 h b W V z J n F 1 b 3 Q 7 O l t d L C Z x d W 9 0 O 3 F 1 Z X J 5 U m V s Y X R p b 2 5 z a G l w c y Z x d W 9 0 O z p b X S w m c X V v d D t j b 2 x 1 b W 5 J Z G V u d G l 0 a W V z J n F 1 b 3 Q 7 O l s m c X V v d D t T Z W N 0 a W 9 u M S 9 G U 0 Q v Q X V 0 b 1 J l b W 9 2 Z W R D b 2 x 1 b W 5 z M S 5 7 S 3 J p b m d k Y W c s M H 0 m c X V v d D s s J n F 1 b 3 Q 7 U 2 V j d G l v b j E v R l N E L 0 F 1 d G 9 S Z W 1 v d m V k Q 2 9 s d W 1 u c z E u e 1 Z l c i 5 u c i w x f S Z x d W 9 0 O y w m c X V v d D t T Z W N 0 a W 9 u M S 9 G U 0 Q v Q X V 0 b 1 J l b W 9 2 Z W R D b 2 x 1 b W 5 z M S 5 7 T m F h b S B 2 Z X J l b m l n a W 5 n L D J 9 J n F 1 b 3 Q 7 L C Z x d W 9 0 O 1 N l Y 3 R p b 2 4 x L 0 Z T R C 9 B d X R v U m V t b 3 Z l Z E N v b H V t b n M x L n t E Z W x l Z 2 F 0 a W U s M 3 0 m c X V v d D s s J n F 1 b 3 Q 7 U 2 V j d G l v b j E v R l N E L 0 F 1 d G 9 S Z W 1 v d m V k Q 2 9 s d W 1 u c z E u e 0 1 1 e m l l a 2 t v c n B z I G J p a i B t Y X J z I G V u I G R l Z m l s X H U w M E U 5 L D R 9 J n F 1 b 3 Q 7 L C Z x d W 9 0 O 1 N l Y 3 R p b 2 4 x L 0 Z T R C 9 B d X R v U m V t b 3 Z l Z E N v b H V t b n M x L n t E Z W V s b i 4 g a m V 1 Z 2 R r b 2 5 p b m d z Y 2 h p Z X R l b i w 1 f S Z x d W 9 0 O y w m c X V v d D t T Z W N 0 a W 9 u M S 9 G U 0 Q v Q X V 0 b 1 J l b W 9 2 Z W R D b 2 x 1 b W 5 z M S 5 7 T W F q L i B T Z W 5 p b 3 J l b i B q d X J l c m V u I G J p a i B t Y X J z L D Z 9 J n F 1 b 3 Q 7 L C Z x d W 9 0 O 1 N l Y 3 R p b 2 4 x L 0 Z T R C 9 B d X R v U m V t b 3 Z l Z E N v b H V t b n M x L n t N Y W o u I E p l d W d k I G p 1 c m V y Z W 4 g Y m l q I G 1 h c n M s N 3 0 m c X V v d D s s J n F 1 b 3 Q 7 U 2 V j d G l v b j E v R l N E L 0 F 1 d G 9 S Z W 1 v d m V k Q 2 9 s d W 1 u c z E u e 0 t v c n B z I H N l b m l v c m V u L D h 9 J n F 1 b 3 Q 7 L C Z x d W 9 0 O 1 N l Y 3 R p b 2 4 x L 0 Z T R C 9 B d X R v U m V t b 3 Z l Z E N v b H V t b n M x L n t K d W 5 p b 3 J l b i B r b 3 J w c y A x L D l 9 J n F 1 b 3 Q 7 L C Z x d W 9 0 O 1 N l Y 3 R p b 2 4 x L 0 Z T R C 9 B d X R v U m V t b 3 Z l Z E N v b H V t b n M x L n t K d W 5 p b 3 J l b i B r b 3 J w c y A y L D E w f S Z x d W 9 0 O y w m c X V v d D t T Z W N 0 a W 9 u M S 9 G U 0 Q v Q X V 0 b 1 J l b W 9 2 Z W R D b 2 x 1 b W 5 z M S 5 7 Q X N w a X J h b n R l b i B r b 3 J w c y A x L D E x f S Z x d W 9 0 O y w m c X V v d D t T Z W N 0 a W 9 u M S 9 G U 0 Q v Q X V 0 b 1 J l b W 9 2 Z W R D b 2 x 1 b W 5 z M S 5 7 Q X N w a X J h b n R l b i B r b 3 J w c y A y L D E y f S Z x d W 9 0 O y w m c X V v d D t T Z W N 0 a W 9 u M S 9 G U 0 Q v Q X V 0 b 1 J l b W 9 2 Z W R D b 2 x 1 b W 5 z M S 5 7 Q W N y b 2 J h d G l z Y 2 g g c 2 V u a W 9 y Z W 4 s M T N 9 J n F 1 b 3 Q 7 L C Z x d W 9 0 O 1 N l Y 3 R p b 2 4 x L 0 Z T R C 9 B d X R v U m V t b 3 Z l Z E N v b H V t b n M x L n t B Y 3 J v Y m F 0 a X N j a C B q d W 5 p b 3 J l b i w x N H 0 m c X V v d D s s J n F 1 b 3 Q 7 U 2 V j d G l v b j E v R l N E L 0 F 1 d G 9 S Z W 1 v d m V k Q 2 9 s d W 1 u c z E u e 0 F j c m 9 i Y X R p c 2 N o I G F z c G l y Y W 5 0 Z W 4 s M T V 9 J n F 1 b 3 Q 7 L C Z x d W 9 0 O 1 N l Y 3 R p b 2 4 x L 0 Z T R C 9 B d X R v U m V t b 3 Z l Z E N v b H V t b n M x L n t T a G 9 3 I H N l b m l v c m V u L D E 2 f S Z x d W 9 0 O y w m c X V v d D t T Z W N 0 a W 9 u M S 9 G U 0 Q v Q X V 0 b 1 J l b W 9 2 Z W R D b 2 x 1 b W 5 z M S 5 7 U 2 h v d y B q d W 5 p b 3 J l b i w x N 3 0 m c X V v d D s s J n F 1 b 3 Q 7 U 2 V j d G l v b j E v R l N E L 0 F 1 d G 9 S Z W 1 v d m V k Q 2 9 s d W 1 u c z E u e 1 N o b 3 c g Y X N w a X J h b n R l b i w x O H 0 m c X V v d D s s J n F 1 b 3 Q 7 U 2 V j d G l v b j E v R l N E L 0 F 1 d G 9 S Z W 1 v d m V k Q 2 9 s d W 1 u c z E u e 1 N l b m l v c m V u I G l u Z G l 2 L i w x O X 0 m c X V v d D s s J n F 1 b 3 Q 7 U 2 V j d G l v b j E v R l N E L 0 F 1 d G 9 S Z W 1 v d m V k Q 2 9 s d W 1 u c z E u e 0 p 1 b m l v c m V u I G l u Z G l 2 L i w y M H 0 m c X V v d D s s J n F 1 b 3 Q 7 U 2 V j d G l v b j E v R l N E L 0 F 1 d G 9 S Z W 1 v d m V k Q 2 9 s d W 1 u c z E u e 0 F z c G l y Y W 5 0 Z W 4 g a W 5 k a X Y u L D I x f S Z x d W 9 0 O y w m c X V v d D t T Z W N 0 a W 9 u M S 9 G U 0 Q v Q X V 0 b 1 J l b W 9 2 Z W R D b 2 x 1 b W 5 z M S 5 7 U 2 V u L i B p b m Q g b 3 B n Z W d l d m V u I G 5 h b W V u L D I y f S Z x d W 9 0 O y w m c X V v d D t T Z W N 0 a W 9 u M S 9 G U 0 Q v Q X V 0 b 1 J l b W 9 2 Z W R D b 2 x 1 b W 5 z M S 5 7 S n V u L i B p b m Q g b 3 B n Z W d l d m V u I G 5 h b W V u L D I z f S Z x d W 9 0 O y w m c X V v d D t T Z W N 0 a W 9 u M S 9 G U 0 Q v Q X V 0 b 1 J l b W 9 2 Z W R D b 2 x 1 b W 5 z M S 5 7 Q X N w L i B p b m Q g b 3 B n Z W d l d m V u I G 5 h b W V u L D I 0 f S Z x d W 9 0 O y w m c X V v d D t T Z W N 0 a W 9 u M S 9 G U 0 Q v Q X V 0 b 1 J l b W 9 2 Z W R D b 2 x 1 b W 5 z M S 5 7 S G 9 v Z m R r b 3 J w c y w y N X 0 m c X V v d D s s J n F 1 b 3 Q 7 U 2 V j d G l v b j E v R l N E L 0 F 1 d G 9 S Z W 1 v d m V k Q 2 9 s d W 1 u c z E u e z J l I G t v c n B z L D I 2 f S Z x d W 9 0 O y w m c X V v d D t T Z W N 0 a W 9 u M S 9 G U 0 Q v Q X V 0 b 1 J l b W 9 2 Z W R D b 2 x 1 b W 5 z M S 5 7 R 3 J v Z X B l b i w g d G V h b X M s I G V u c 2 V t Y m x l c y B l b i B k d W 9 c d T A w M j d z L D I 3 f S Z x d W 9 0 O y w m c X V v d D t T Z W N 0 a W 9 u M S 9 G U 0 Q v Q X V 0 b 1 J l b W 9 2 Z W R D b 2 x 1 b W 5 z M S 5 7 U 2 V u a W 9 y Z W 4 s M j h 9 J n F 1 b 3 Q 7 L C Z x d W 9 0 O 1 N l Y 3 R p b 2 4 x L 0 Z T R C 9 B d X R v U m V t b 3 Z l Z E N v b H V t b n M x L n t K b 2 5 n I H Z v b H d h c 3 N l b m U s M j l 9 J n F 1 b 3 Q 7 L C Z x d W 9 0 O 1 N l Y 3 R p b 2 4 x L 0 Z T R C 9 B d X R v U m V t b 3 Z l Z E N v b H V t b n M x L n t K d W 5 p b 3 J l b i w z M H 0 m c X V v d D s s J n F 1 b 3 Q 7 U 2 V j d G l v b j E v R l N E L 0 F 1 d G 9 S Z W 1 v d m V k Q 2 9 s d W 1 u c z E u e 0 F z c G l y Y W 5 0 Z W 4 s M z F 9 J n F 1 b 3 Q 7 L C Z x d W 9 0 O 1 N l Y 3 R p b 2 4 x L 0 Z T R C 9 B d X R v U m V t b 3 Z l Z E N v b H V t b n M x L n t P c G d l Z 2 V 2 Z W 4 g c 2 V u a W 9 y Z W 4 s M z J 9 J n F 1 b 3 Q 7 L C Z x d W 9 0 O 1 N l Y 3 R p b 2 4 x L 0 Z T R C 9 B d X R v U m V t b 3 Z l Z E N v b H V t b n M x L n t P c G d l Z 2 V 2 Z W 4 g a m 9 u Z y B 2 b 2 x 3 Y X N z Z W 5 l L D M z f S Z x d W 9 0 O y w m c X V v d D t T Z W N 0 a W 9 u M S 9 G U 0 Q v Q X V 0 b 1 J l b W 9 2 Z W R D b 2 x 1 b W 5 z M S 5 7 T 3 B n Z W d l d m V u I G p 1 b m l v c m V u L D M 0 f S Z x d W 9 0 O y w m c X V v d D t T Z W N 0 a W 9 u M S 9 G U 0 Q v Q X V 0 b 1 J l b W 9 2 Z W R D b 2 x 1 b W 5 z M S 5 7 T 3 B n Z W d l d m V u I G F z c G l y Y W 5 0 Z W 4 s M z V 9 J n F 1 b 3 Q 7 L C Z x d W 9 0 O 1 N l Y 3 R p b 2 4 x L 0 Z T R C 9 B d X R v U m V t b 3 Z l Z E N v b H V t b n M x L n t N Y X J r Z X R l b n R z d G V y c y w z N n 0 m c X V v d D s s J n F 1 b 3 Q 7 U 2 V j d G l v b j E v R l N E L 0 F 1 d G 9 S Z W 1 v d m V k Q 2 9 s d W 1 u c z E u e 0 x 1 Y 2 h 0 Z 2 V 3 Z W V y L D M 3 f S Z x d W 9 0 O y w m c X V v d D t T Z W N 0 a W 9 u M S 9 G U 0 Q v Q X V 0 b 1 J l b W 9 2 Z W R D b 2 x 1 b W 5 z M S 5 7 Q W F u d G F s I G x 1 Y 2 h 0 Z 2 V 3 Z W V y c 2 N o d X R 0 Z X J z L D M 4 f S Z x d W 9 0 O y w m c X V v d D t T Z W N 0 a W 9 u M S 9 G U 0 Q v Q X V 0 b 1 J l b W 9 2 Z W R D b 2 x 1 b W 5 z M S 5 7 T H V j a H R w a X N 0 b 2 9 s L D M 5 f S Z x d W 9 0 O y w m c X V v d D t T Z W N 0 a W 9 u M S 9 G U 0 Q v Q X V 0 b 1 J l b W 9 2 Z W R D b 2 x 1 b W 5 z M S 5 7 Q W F u d G F s I G x 1 Y 2 h 0 c G l z d G 9 v b H N j a H V 0 d G V y c y w 0 M H 0 m c X V v d D s s J n F 1 b 3 Q 7 U 2 V j d G l v b j E v R l N E L 0 F 1 d G 9 S Z W 1 v d m V k Q 2 9 s d W 1 u c z E u e 0 h h b m R i b 2 9 n L D Q x f S Z x d W 9 0 O y w m c X V v d D t T Z W N 0 a W 9 u M S 9 G U 0 Q v Q X V 0 b 1 J l b W 9 2 Z W R D b 2 x 1 b W 5 z M S 5 7 Q W F u d G F s I G h h b m R i b 2 9 n c 2 N o d X R 0 Z X J z L D Q y f S Z x d W 9 0 O y w m c X V v d D t T Z W N 0 a W 9 u M S 9 G U 0 Q v Q X V 0 b 1 J l b W 9 2 Z W R D b 2 x 1 b W 5 z M S 5 7 S 3 J 1 a X N i b 2 9 n L D Q z f S Z x d W 9 0 O y w m c X V v d D t T Z W N 0 a W 9 u M S 9 G U 0 Q v Q X V 0 b 1 J l b W 9 2 Z W R D b 2 x 1 b W 5 z M S 5 7 Q W F u d G F s I G t y d W l z Y m 9 v Z 3 N j a H V 0 d G V y c y w 0 N H 0 m c X V v d D s s J n F 1 b 3 Q 7 U 2 V j d G l v b j E v R l N E L 0 F 1 d G 9 S Z W 1 v d m V k Q 2 9 s d W 1 u c z E u e 0 x 1 Y 2 h 0 Z 2 V 3 Z W V y I G p l d W d k I G 5 p Z X Q g b 3 V k Z X I g Z G F u I D E 3 I G p h Y X I u L D Q 1 f S Z x d W 9 0 O y w m c X V v d D t T Z W N 0 a W 9 u M S 9 G U 0 Q v Q X V 0 b 1 J l b W 9 2 Z W R D b 2 x 1 b W 5 z M S 5 7 Q W F u d G F s I G t v c n B z Z W 4 s N D Z 9 J n F 1 b 3 Q 7 L C Z x d W 9 0 O 1 N l Y 3 R p b 2 4 x L 0 Z T R C 9 B d X R v U m V t b 3 Z l Z E N v b H V t b n M x L n t P c G d l Z 2 V 2 Z W 4 g a m V 1 Z 2 R r b 3 J w c 2 V u I E x H L D Q 3 f S Z x d W 9 0 O y w m c X V v d D t T Z W N 0 a W 9 u M S 9 G U 0 Q v Q X V 0 b 1 J l b W 9 2 Z W R D b 2 x 1 b W 5 z M S 5 7 V G 9 0 Y W F s I G F h b n R h b C B k Z W V s b m V t Z X J z L D Q 4 f S Z x d W 9 0 O y w m c X V v d D t T Z W N 0 a W 9 u M S 9 G U 0 Q v Q X V 0 b 1 J l b W 9 2 Z W R D b 2 x 1 b W 5 z M S 5 7 V 2 F h c n Z h b i B h Y W 5 0 Y W w g a m V 1 Z 2 Q g K H Q v b S A x N S B q Y W F y K S w 0 O X 0 m c X V v d D s s J n F 1 b 3 Q 7 U 2 V j d G l v b j E v R l N E L 0 F 1 d G 9 S Z W 1 v d m V k Q 2 9 s d W 1 u c z E u e 0 t h b m 9 u I G V 0 Y y 4 s N T B 9 J n F 1 b 3 Q 7 L C Z x d W 9 0 O 1 N l Y 3 R p b 2 4 x L 0 Z T R C 9 B d X R v U m V t b 3 Z l Z E N v b H V t b n M x L n t Q Y W F y Z G V u I G V u L 2 9 m I G t v Z X R z Z W 4 s N T F 9 J n F 1 b 3 Q 7 L C Z x d W 9 0 O 1 N l Y 3 R p b 2 4 x L 0 Z T R C 9 B d X R v U m V t b 3 Z l Z E N v b H V t b n M x L n t U b 2 V s a W N o d G l u Z y 9 v c G 1 l c m t p b m d l b i w 1 M n 0 m c X V v d D s s J n F 1 b 3 Q 7 U 2 V j d G l v b j E v R l N E L 0 F 1 d G 9 S Z W 1 v d m V k Q 2 9 s d W 1 u c z E u e 0 l u e m V u Z G l u Z y 1 J R C w 1 M 3 0 m c X V v d D s s J n F 1 b 3 Q 7 U 2 V j d G l v b j E v R l N E L 0 F 1 d G 9 S Z W 1 v d m V k Q 2 9 s d W 1 u c z E u e 0 l u e m V u Z G R h d H V t L D U 0 f S Z x d W 9 0 O y w m c X V v d D t T Z W N 0 a W 9 u M S 9 G U 0 Q v Q X V 0 b 1 J l b W 9 2 Z W R D b 2 x 1 b W 5 z M S 5 7 R G F 0 Z S B V c G R h d G V k L D U 1 f S Z x d W 9 0 O y w m c X V v d D t T Z W N 0 a W 9 u M S 9 G U 0 Q v Q X V 0 b 1 J l b W 9 2 Z W R D b 2 x 1 b W 5 z M S 5 7 T m F h b S B 2 Y W 4 g a G V 0 I G h v b 2 Z k a 2 9 y c H M s N T Z 9 J n F 1 b 3 Q 7 L C Z x d W 9 0 O 1 N l Y 3 R p b 2 4 x L 0 Z T R C 9 B d X R v U m V t b 3 Z l Z E N v b H V t b n M x L n t a Y W w g b 3 A g d H J l Z G V u I G F s c y A o a G 9 v Z m R r b 3 J w c y k s N T d 9 J n F 1 b 3 Q 7 L C Z x d W 9 0 O 1 N l Y 3 R p b 2 4 x L 0 Z T R C 9 B d X R v U m V t b 3 Z l Z E N v b H V t b n M x L n t W b 3 J t I H Z h b i B 0 d 2 V l I G 1 1 e m l l a 3 d l c m t l b i A o a G 9 v Z m R r b 3 J w c y k s N T h 9 J n F 1 b 3 Q 7 L C Z x d W 9 0 O 1 N l Y 3 R p b 2 4 x L 0 Z T R C 9 B d X R v U m V t b 3 Z l Z E N v b H V t b n M x L n t a Y W w g d W l 0 a 2 9 t Z W 4 g a W 4 g Z G U 6 I C h o b 2 9 m Z G t v c n B z K S w 1 O X 0 m c X V v d D s s J n F 1 b 3 Q 7 U 2 V j d G l v b j E v R l N E L 0 F 1 d G 9 S Z W 1 v d m V k Q 2 9 s d W 1 u c z E u e 0 1 1 e m l l a 3 d l c m s x I C h o b 2 9 m Z G t v c n B z K S w 2 M H 0 m c X V v d D s s J n F 1 b 3 Q 7 U 2 V j d G l v b j E v R l N E L 0 F 1 d G 9 S Z W 1 v d m V k Q 2 9 s d W 1 u c z E u e 0 1 1 e m l l a 3 d l c m s y I C h o b 2 9 m Z G t v c n B z K S w 2 M X 0 m c X V v d D s s J n F 1 b 3 Q 7 U 2 V j d G l v b j E v R l N E L 0 F 1 d G 9 S Z W 1 v d m V k Q 2 9 s d W 1 u c z E u e 0 t v c n B z I G J l c 3 R h Y X Q g d W l 0 I C 4 u L i B k Z W V s b m V t Z X J z I C h o b 2 9 m Z G t v c n B z K S w 2 M n 0 m c X V v d D s s J n F 1 b 3 Q 7 U 2 V j d G l v b j E v R l N E L 0 F 1 d G 9 S Z W 1 v d m V k Q 2 9 s d W 1 u c z E u e 0 5 h Y W 0 g d m F u I G h l d C A y Z S B r b 3 J w c y w 2 M 3 0 m c X V v d D s s J n F 1 b 3 Q 7 U 2 V j d G l v b j E v R l N E L 0 F 1 d G 9 S Z W 1 v d m V k Q 2 9 s d W 1 u c z E u e 1 p h b C B v c C B 0 c m V k Z W 4 g Y W x z I C g y Z S B r b 3 J w c y k s N j R 9 J n F 1 b 3 Q 7 L C Z x d W 9 0 O 1 N l Y 3 R p b 2 4 x L 0 Z T R C 9 B d X R v U m V t b 3 Z l Z E N v b H V t b n M x L n t W b 3 J t I H Z h b i B 0 d 2 V l I G 1 1 e m l l a 3 d l c m t l b i A o M m U g a 2 9 y c H M p L D Y 1 f S Z x d W 9 0 O y w m c X V v d D t T Z W N 0 a W 9 u M S 9 G U 0 Q v Q X V 0 b 1 J l b W 9 2 Z W R D b 2 x 1 b W 5 z M S 5 7 W m F s I H V p d G t v b W V u I G l u I G R l O i A o M m U g a 2 9 y c H M p L D Y 2 f S Z x d W 9 0 O y w m c X V v d D t T Z W N 0 a W 9 u M S 9 G U 0 Q v Q X V 0 b 1 J l b W 9 2 Z W R D b 2 x 1 b W 5 z M S 5 7 T X V 6 a W V r d 2 V y a z E g K D J l I G t v c n B z K S w 2 N 3 0 m c X V v d D s s J n F 1 b 3 Q 7 U 2 V j d G l v b j E v R l N E L 0 F 1 d G 9 S Z W 1 v d m V k Q 2 9 s d W 1 u c z E u e 0 1 1 e m l l a 3 d l c m s y I C g y Z S B r b 3 J w c y k s N j h 9 J n F 1 b 3 Q 7 L C Z x d W 9 0 O 1 N l Y 3 R p b 2 4 x L 0 Z T R C 9 B d X R v U m V t b 3 Z l Z E N v b H V t b n M x L n t L b 3 J w c y B i Z X N 0 Y W F 0 I H V p d C A u L i 4 g Z G V l b G 5 l b W V y c y A o M m U g a 2 9 y c H M p L D Y 5 f S Z x d W 9 0 O y w m c X V v d D t T Z W N 0 a W 9 u M S 9 G U 0 Q v Q X V 0 b 1 J l b W 9 2 Z W R D b 2 x 1 b W 5 z M S 5 7 T W V j a G F u a X N j a G U g b X V 6 a W V r L D c w f S Z x d W 9 0 O y w m c X V v d D t T Z W N 0 a W 9 u M S 9 G U 0 Q v Q X V 0 b 1 J l b W 9 2 Z W R D b 2 x 1 b W 5 z M S 5 7 T 2 5 k Z X J k Z W x l b i w 3 M X 0 m c X V v d D s s J n F 1 b 3 Q 7 U 2 V j d G l v b j E v R l N E L 0 F 1 d G 9 S Z W 1 v d m V k Q 2 9 s d W 1 u c z E u e 1 N l Y 3 R p Z X M s N z J 9 J n F 1 b 3 Q 7 L C Z x d W 9 0 O 1 N l Y 3 R p b 2 4 x L 0 Z T R C 9 B d X R v U m V t b 3 Z l Z E N v b H V t b n M x L n t M Z W V m d G l q Z H N j Y X R l Z 2 9 y a W U s N z N 9 J n F 1 b 3 Q 7 L C Z x d W 9 0 O 1 N l Y 3 R p b 2 4 x L 0 Z T R C 9 B d X R v U m V t b 3 Z l Z E N v b H V t b n M x L n t B Y W 5 0 Y W w g b 3 B n Z W d l d m V u I G 1 h a m 9 y Z X R 0 Z X M s N z R 9 J n F 1 b 3 Q 7 X S w m c X V v d D t D b 2 x 1 b W 5 D b 3 V u d C Z x d W 9 0 O z o 3 N S w m c X V v d D t L Z X l D b 2 x 1 b W 5 O Y W 1 l c y Z x d W 9 0 O z p b X S w m c X V v d D t D b 2 x 1 b W 5 J Z G V u d G l 0 a W V z J n F 1 b 3 Q 7 O l s m c X V v d D t T Z W N 0 a W 9 u M S 9 G U 0 Q v Q X V 0 b 1 J l b W 9 2 Z W R D b 2 x 1 b W 5 z M S 5 7 S 3 J p b m d k Y W c s M H 0 m c X V v d D s s J n F 1 b 3 Q 7 U 2 V j d G l v b j E v R l N E L 0 F 1 d G 9 S Z W 1 v d m V k Q 2 9 s d W 1 u c z E u e 1 Z l c i 5 u c i w x f S Z x d W 9 0 O y w m c X V v d D t T Z W N 0 a W 9 u M S 9 G U 0 Q v Q X V 0 b 1 J l b W 9 2 Z W R D b 2 x 1 b W 5 z M S 5 7 T m F h b S B 2 Z X J l b m l n a W 5 n L D J 9 J n F 1 b 3 Q 7 L C Z x d W 9 0 O 1 N l Y 3 R p b 2 4 x L 0 Z T R C 9 B d X R v U m V t b 3 Z l Z E N v b H V t b n M x L n t E Z W x l Z 2 F 0 a W U s M 3 0 m c X V v d D s s J n F 1 b 3 Q 7 U 2 V j d G l v b j E v R l N E L 0 F 1 d G 9 S Z W 1 v d m V k Q 2 9 s d W 1 u c z E u e 0 1 1 e m l l a 2 t v c n B z I G J p a i B t Y X J z I G V u I G R l Z m l s X H U w M E U 5 L D R 9 J n F 1 b 3 Q 7 L C Z x d W 9 0 O 1 N l Y 3 R p b 2 4 x L 0 Z T R C 9 B d X R v U m V t b 3 Z l Z E N v b H V t b n M x L n t E Z W V s b i 4 g a m V 1 Z 2 R r b 2 5 p b m d z Y 2 h p Z X R l b i w 1 f S Z x d W 9 0 O y w m c X V v d D t T Z W N 0 a W 9 u M S 9 G U 0 Q v Q X V 0 b 1 J l b W 9 2 Z W R D b 2 x 1 b W 5 z M S 5 7 T W F q L i B T Z W 5 p b 3 J l b i B q d X J l c m V u I G J p a i B t Y X J z L D Z 9 J n F 1 b 3 Q 7 L C Z x d W 9 0 O 1 N l Y 3 R p b 2 4 x L 0 Z T R C 9 B d X R v U m V t b 3 Z l Z E N v b H V t b n M x L n t N Y W o u I E p l d W d k I G p 1 c m V y Z W 4 g Y m l q I G 1 h c n M s N 3 0 m c X V v d D s s J n F 1 b 3 Q 7 U 2 V j d G l v b j E v R l N E L 0 F 1 d G 9 S Z W 1 v d m V k Q 2 9 s d W 1 u c z E u e 0 t v c n B z I H N l b m l v c m V u L D h 9 J n F 1 b 3 Q 7 L C Z x d W 9 0 O 1 N l Y 3 R p b 2 4 x L 0 Z T R C 9 B d X R v U m V t b 3 Z l Z E N v b H V t b n M x L n t K d W 5 p b 3 J l b i B r b 3 J w c y A x L D l 9 J n F 1 b 3 Q 7 L C Z x d W 9 0 O 1 N l Y 3 R p b 2 4 x L 0 Z T R C 9 B d X R v U m V t b 3 Z l Z E N v b H V t b n M x L n t K d W 5 p b 3 J l b i B r b 3 J w c y A y L D E w f S Z x d W 9 0 O y w m c X V v d D t T Z W N 0 a W 9 u M S 9 G U 0 Q v Q X V 0 b 1 J l b W 9 2 Z W R D b 2 x 1 b W 5 z M S 5 7 Q X N w a X J h b n R l b i B r b 3 J w c y A x L D E x f S Z x d W 9 0 O y w m c X V v d D t T Z W N 0 a W 9 u M S 9 G U 0 Q v Q X V 0 b 1 J l b W 9 2 Z W R D b 2 x 1 b W 5 z M S 5 7 Q X N w a X J h b n R l b i B r b 3 J w c y A y L D E y f S Z x d W 9 0 O y w m c X V v d D t T Z W N 0 a W 9 u M S 9 G U 0 Q v Q X V 0 b 1 J l b W 9 2 Z W R D b 2 x 1 b W 5 z M S 5 7 Q W N y b 2 J h d G l z Y 2 g g c 2 V u a W 9 y Z W 4 s M T N 9 J n F 1 b 3 Q 7 L C Z x d W 9 0 O 1 N l Y 3 R p b 2 4 x L 0 Z T R C 9 B d X R v U m V t b 3 Z l Z E N v b H V t b n M x L n t B Y 3 J v Y m F 0 a X N j a C B q d W 5 p b 3 J l b i w x N H 0 m c X V v d D s s J n F 1 b 3 Q 7 U 2 V j d G l v b j E v R l N E L 0 F 1 d G 9 S Z W 1 v d m V k Q 2 9 s d W 1 u c z E u e 0 F j c m 9 i Y X R p c 2 N o I G F z c G l y Y W 5 0 Z W 4 s M T V 9 J n F 1 b 3 Q 7 L C Z x d W 9 0 O 1 N l Y 3 R p b 2 4 x L 0 Z T R C 9 B d X R v U m V t b 3 Z l Z E N v b H V t b n M x L n t T a G 9 3 I H N l b m l v c m V u L D E 2 f S Z x d W 9 0 O y w m c X V v d D t T Z W N 0 a W 9 u M S 9 G U 0 Q v Q X V 0 b 1 J l b W 9 2 Z W R D b 2 x 1 b W 5 z M S 5 7 U 2 h v d y B q d W 5 p b 3 J l b i w x N 3 0 m c X V v d D s s J n F 1 b 3 Q 7 U 2 V j d G l v b j E v R l N E L 0 F 1 d G 9 S Z W 1 v d m V k Q 2 9 s d W 1 u c z E u e 1 N o b 3 c g Y X N w a X J h b n R l b i w x O H 0 m c X V v d D s s J n F 1 b 3 Q 7 U 2 V j d G l v b j E v R l N E L 0 F 1 d G 9 S Z W 1 v d m V k Q 2 9 s d W 1 u c z E u e 1 N l b m l v c m V u I G l u Z G l 2 L i w x O X 0 m c X V v d D s s J n F 1 b 3 Q 7 U 2 V j d G l v b j E v R l N E L 0 F 1 d G 9 S Z W 1 v d m V k Q 2 9 s d W 1 u c z E u e 0 p 1 b m l v c m V u I G l u Z G l 2 L i w y M H 0 m c X V v d D s s J n F 1 b 3 Q 7 U 2 V j d G l v b j E v R l N E L 0 F 1 d G 9 S Z W 1 v d m V k Q 2 9 s d W 1 u c z E u e 0 F z c G l y Y W 5 0 Z W 4 g a W 5 k a X Y u L D I x f S Z x d W 9 0 O y w m c X V v d D t T Z W N 0 a W 9 u M S 9 G U 0 Q v Q X V 0 b 1 J l b W 9 2 Z W R D b 2 x 1 b W 5 z M S 5 7 U 2 V u L i B p b m Q g b 3 B n Z W d l d m V u I G 5 h b W V u L D I y f S Z x d W 9 0 O y w m c X V v d D t T Z W N 0 a W 9 u M S 9 G U 0 Q v Q X V 0 b 1 J l b W 9 2 Z W R D b 2 x 1 b W 5 z M S 5 7 S n V u L i B p b m Q g b 3 B n Z W d l d m V u I G 5 h b W V u L D I z f S Z x d W 9 0 O y w m c X V v d D t T Z W N 0 a W 9 u M S 9 G U 0 Q v Q X V 0 b 1 J l b W 9 2 Z W R D b 2 x 1 b W 5 z M S 5 7 Q X N w L i B p b m Q g b 3 B n Z W d l d m V u I G 5 h b W V u L D I 0 f S Z x d W 9 0 O y w m c X V v d D t T Z W N 0 a W 9 u M S 9 G U 0 Q v Q X V 0 b 1 J l b W 9 2 Z W R D b 2 x 1 b W 5 z M S 5 7 S G 9 v Z m R r b 3 J w c y w y N X 0 m c X V v d D s s J n F 1 b 3 Q 7 U 2 V j d G l v b j E v R l N E L 0 F 1 d G 9 S Z W 1 v d m V k Q 2 9 s d W 1 u c z E u e z J l I G t v c n B z L D I 2 f S Z x d W 9 0 O y w m c X V v d D t T Z W N 0 a W 9 u M S 9 G U 0 Q v Q X V 0 b 1 J l b W 9 2 Z W R D b 2 x 1 b W 5 z M S 5 7 R 3 J v Z X B l b i w g d G V h b X M s I G V u c 2 V t Y m x l c y B l b i B k d W 9 c d T A w M j d z L D I 3 f S Z x d W 9 0 O y w m c X V v d D t T Z W N 0 a W 9 u M S 9 G U 0 Q v Q X V 0 b 1 J l b W 9 2 Z W R D b 2 x 1 b W 5 z M S 5 7 U 2 V u a W 9 y Z W 4 s M j h 9 J n F 1 b 3 Q 7 L C Z x d W 9 0 O 1 N l Y 3 R p b 2 4 x L 0 Z T R C 9 B d X R v U m V t b 3 Z l Z E N v b H V t b n M x L n t K b 2 5 n I H Z v b H d h c 3 N l b m U s M j l 9 J n F 1 b 3 Q 7 L C Z x d W 9 0 O 1 N l Y 3 R p b 2 4 x L 0 Z T R C 9 B d X R v U m V t b 3 Z l Z E N v b H V t b n M x L n t K d W 5 p b 3 J l b i w z M H 0 m c X V v d D s s J n F 1 b 3 Q 7 U 2 V j d G l v b j E v R l N E L 0 F 1 d G 9 S Z W 1 v d m V k Q 2 9 s d W 1 u c z E u e 0 F z c G l y Y W 5 0 Z W 4 s M z F 9 J n F 1 b 3 Q 7 L C Z x d W 9 0 O 1 N l Y 3 R p b 2 4 x L 0 Z T R C 9 B d X R v U m V t b 3 Z l Z E N v b H V t b n M x L n t P c G d l Z 2 V 2 Z W 4 g c 2 V u a W 9 y Z W 4 s M z J 9 J n F 1 b 3 Q 7 L C Z x d W 9 0 O 1 N l Y 3 R p b 2 4 x L 0 Z T R C 9 B d X R v U m V t b 3 Z l Z E N v b H V t b n M x L n t P c G d l Z 2 V 2 Z W 4 g a m 9 u Z y B 2 b 2 x 3 Y X N z Z W 5 l L D M z f S Z x d W 9 0 O y w m c X V v d D t T Z W N 0 a W 9 u M S 9 G U 0 Q v Q X V 0 b 1 J l b W 9 2 Z W R D b 2 x 1 b W 5 z M S 5 7 T 3 B n Z W d l d m V u I G p 1 b m l v c m V u L D M 0 f S Z x d W 9 0 O y w m c X V v d D t T Z W N 0 a W 9 u M S 9 G U 0 Q v Q X V 0 b 1 J l b W 9 2 Z W R D b 2 x 1 b W 5 z M S 5 7 T 3 B n Z W d l d m V u I G F z c G l y Y W 5 0 Z W 4 s M z V 9 J n F 1 b 3 Q 7 L C Z x d W 9 0 O 1 N l Y 3 R p b 2 4 x L 0 Z T R C 9 B d X R v U m V t b 3 Z l Z E N v b H V t b n M x L n t N Y X J r Z X R l b n R z d G V y c y w z N n 0 m c X V v d D s s J n F 1 b 3 Q 7 U 2 V j d G l v b j E v R l N E L 0 F 1 d G 9 S Z W 1 v d m V k Q 2 9 s d W 1 u c z E u e 0 x 1 Y 2 h 0 Z 2 V 3 Z W V y L D M 3 f S Z x d W 9 0 O y w m c X V v d D t T Z W N 0 a W 9 u M S 9 G U 0 Q v Q X V 0 b 1 J l b W 9 2 Z W R D b 2 x 1 b W 5 z M S 5 7 Q W F u d G F s I G x 1 Y 2 h 0 Z 2 V 3 Z W V y c 2 N o d X R 0 Z X J z L D M 4 f S Z x d W 9 0 O y w m c X V v d D t T Z W N 0 a W 9 u M S 9 G U 0 Q v Q X V 0 b 1 J l b W 9 2 Z W R D b 2 x 1 b W 5 z M S 5 7 T H V j a H R w a X N 0 b 2 9 s L D M 5 f S Z x d W 9 0 O y w m c X V v d D t T Z W N 0 a W 9 u M S 9 G U 0 Q v Q X V 0 b 1 J l b W 9 2 Z W R D b 2 x 1 b W 5 z M S 5 7 Q W F u d G F s I G x 1 Y 2 h 0 c G l z d G 9 v b H N j a H V 0 d G V y c y w 0 M H 0 m c X V v d D s s J n F 1 b 3 Q 7 U 2 V j d G l v b j E v R l N E L 0 F 1 d G 9 S Z W 1 v d m V k Q 2 9 s d W 1 u c z E u e 0 h h b m R i b 2 9 n L D Q x f S Z x d W 9 0 O y w m c X V v d D t T Z W N 0 a W 9 u M S 9 G U 0 Q v Q X V 0 b 1 J l b W 9 2 Z W R D b 2 x 1 b W 5 z M S 5 7 Q W F u d G F s I G h h b m R i b 2 9 n c 2 N o d X R 0 Z X J z L D Q y f S Z x d W 9 0 O y w m c X V v d D t T Z W N 0 a W 9 u M S 9 G U 0 Q v Q X V 0 b 1 J l b W 9 2 Z W R D b 2 x 1 b W 5 z M S 5 7 S 3 J 1 a X N i b 2 9 n L D Q z f S Z x d W 9 0 O y w m c X V v d D t T Z W N 0 a W 9 u M S 9 G U 0 Q v Q X V 0 b 1 J l b W 9 2 Z W R D b 2 x 1 b W 5 z M S 5 7 Q W F u d G F s I G t y d W l z Y m 9 v Z 3 N j a H V 0 d G V y c y w 0 N H 0 m c X V v d D s s J n F 1 b 3 Q 7 U 2 V j d G l v b j E v R l N E L 0 F 1 d G 9 S Z W 1 v d m V k Q 2 9 s d W 1 u c z E u e 0 x 1 Y 2 h 0 Z 2 V 3 Z W V y I G p l d W d k I G 5 p Z X Q g b 3 V k Z X I g Z G F u I D E 3 I G p h Y X I u L D Q 1 f S Z x d W 9 0 O y w m c X V v d D t T Z W N 0 a W 9 u M S 9 G U 0 Q v Q X V 0 b 1 J l b W 9 2 Z W R D b 2 x 1 b W 5 z M S 5 7 Q W F u d G F s I G t v c n B z Z W 4 s N D Z 9 J n F 1 b 3 Q 7 L C Z x d W 9 0 O 1 N l Y 3 R p b 2 4 x L 0 Z T R C 9 B d X R v U m V t b 3 Z l Z E N v b H V t b n M x L n t P c G d l Z 2 V 2 Z W 4 g a m V 1 Z 2 R r b 3 J w c 2 V u I E x H L D Q 3 f S Z x d W 9 0 O y w m c X V v d D t T Z W N 0 a W 9 u M S 9 G U 0 Q v Q X V 0 b 1 J l b W 9 2 Z W R D b 2 x 1 b W 5 z M S 5 7 V G 9 0 Y W F s I G F h b n R h b C B k Z W V s b m V t Z X J z L D Q 4 f S Z x d W 9 0 O y w m c X V v d D t T Z W N 0 a W 9 u M S 9 G U 0 Q v Q X V 0 b 1 J l b W 9 2 Z W R D b 2 x 1 b W 5 z M S 5 7 V 2 F h c n Z h b i B h Y W 5 0 Y W w g a m V 1 Z 2 Q g K H Q v b S A x N S B q Y W F y K S w 0 O X 0 m c X V v d D s s J n F 1 b 3 Q 7 U 2 V j d G l v b j E v R l N E L 0 F 1 d G 9 S Z W 1 v d m V k Q 2 9 s d W 1 u c z E u e 0 t h b m 9 u I G V 0 Y y 4 s N T B 9 J n F 1 b 3 Q 7 L C Z x d W 9 0 O 1 N l Y 3 R p b 2 4 x L 0 Z T R C 9 B d X R v U m V t b 3 Z l Z E N v b H V t b n M x L n t Q Y W F y Z G V u I G V u L 2 9 m I G t v Z X R z Z W 4 s N T F 9 J n F 1 b 3 Q 7 L C Z x d W 9 0 O 1 N l Y 3 R p b 2 4 x L 0 Z T R C 9 B d X R v U m V t b 3 Z l Z E N v b H V t b n M x L n t U b 2 V s a W N o d G l u Z y 9 v c G 1 l c m t p b m d l b i w 1 M n 0 m c X V v d D s s J n F 1 b 3 Q 7 U 2 V j d G l v b j E v R l N E L 0 F 1 d G 9 S Z W 1 v d m V k Q 2 9 s d W 1 u c z E u e 0 l u e m V u Z G l u Z y 1 J R C w 1 M 3 0 m c X V v d D s s J n F 1 b 3 Q 7 U 2 V j d G l v b j E v R l N E L 0 F 1 d G 9 S Z W 1 v d m V k Q 2 9 s d W 1 u c z E u e 0 l u e m V u Z G R h d H V t L D U 0 f S Z x d W 9 0 O y w m c X V v d D t T Z W N 0 a W 9 u M S 9 G U 0 Q v Q X V 0 b 1 J l b W 9 2 Z W R D b 2 x 1 b W 5 z M S 5 7 R G F 0 Z S B V c G R h d G V k L D U 1 f S Z x d W 9 0 O y w m c X V v d D t T Z W N 0 a W 9 u M S 9 G U 0 Q v Q X V 0 b 1 J l b W 9 2 Z W R D b 2 x 1 b W 5 z M S 5 7 T m F h b S B 2 Y W 4 g a G V 0 I G h v b 2 Z k a 2 9 y c H M s N T Z 9 J n F 1 b 3 Q 7 L C Z x d W 9 0 O 1 N l Y 3 R p b 2 4 x L 0 Z T R C 9 B d X R v U m V t b 3 Z l Z E N v b H V t b n M x L n t a Y W w g b 3 A g d H J l Z G V u I G F s c y A o a G 9 v Z m R r b 3 J w c y k s N T d 9 J n F 1 b 3 Q 7 L C Z x d W 9 0 O 1 N l Y 3 R p b 2 4 x L 0 Z T R C 9 B d X R v U m V t b 3 Z l Z E N v b H V t b n M x L n t W b 3 J t I H Z h b i B 0 d 2 V l I G 1 1 e m l l a 3 d l c m t l b i A o a G 9 v Z m R r b 3 J w c y k s N T h 9 J n F 1 b 3 Q 7 L C Z x d W 9 0 O 1 N l Y 3 R p b 2 4 x L 0 Z T R C 9 B d X R v U m V t b 3 Z l Z E N v b H V t b n M x L n t a Y W w g d W l 0 a 2 9 t Z W 4 g a W 4 g Z G U 6 I C h o b 2 9 m Z G t v c n B z K S w 1 O X 0 m c X V v d D s s J n F 1 b 3 Q 7 U 2 V j d G l v b j E v R l N E L 0 F 1 d G 9 S Z W 1 v d m V k Q 2 9 s d W 1 u c z E u e 0 1 1 e m l l a 3 d l c m s x I C h o b 2 9 m Z G t v c n B z K S w 2 M H 0 m c X V v d D s s J n F 1 b 3 Q 7 U 2 V j d G l v b j E v R l N E L 0 F 1 d G 9 S Z W 1 v d m V k Q 2 9 s d W 1 u c z E u e 0 1 1 e m l l a 3 d l c m s y I C h o b 2 9 m Z G t v c n B z K S w 2 M X 0 m c X V v d D s s J n F 1 b 3 Q 7 U 2 V j d G l v b j E v R l N E L 0 F 1 d G 9 S Z W 1 v d m V k Q 2 9 s d W 1 u c z E u e 0 t v c n B z I G J l c 3 R h Y X Q g d W l 0 I C 4 u L i B k Z W V s b m V t Z X J z I C h o b 2 9 m Z G t v c n B z K S w 2 M n 0 m c X V v d D s s J n F 1 b 3 Q 7 U 2 V j d G l v b j E v R l N E L 0 F 1 d G 9 S Z W 1 v d m V k Q 2 9 s d W 1 u c z E u e 0 5 h Y W 0 g d m F u I G h l d C A y Z S B r b 3 J w c y w 2 M 3 0 m c X V v d D s s J n F 1 b 3 Q 7 U 2 V j d G l v b j E v R l N E L 0 F 1 d G 9 S Z W 1 v d m V k Q 2 9 s d W 1 u c z E u e 1 p h b C B v c C B 0 c m V k Z W 4 g Y W x z I C g y Z S B r b 3 J w c y k s N j R 9 J n F 1 b 3 Q 7 L C Z x d W 9 0 O 1 N l Y 3 R p b 2 4 x L 0 Z T R C 9 B d X R v U m V t b 3 Z l Z E N v b H V t b n M x L n t W b 3 J t I H Z h b i B 0 d 2 V l I G 1 1 e m l l a 3 d l c m t l b i A o M m U g a 2 9 y c H M p L D Y 1 f S Z x d W 9 0 O y w m c X V v d D t T Z W N 0 a W 9 u M S 9 G U 0 Q v Q X V 0 b 1 J l b W 9 2 Z W R D b 2 x 1 b W 5 z M S 5 7 W m F s I H V p d G t v b W V u I G l u I G R l O i A o M m U g a 2 9 y c H M p L D Y 2 f S Z x d W 9 0 O y w m c X V v d D t T Z W N 0 a W 9 u M S 9 G U 0 Q v Q X V 0 b 1 J l b W 9 2 Z W R D b 2 x 1 b W 5 z M S 5 7 T X V 6 a W V r d 2 V y a z E g K D J l I G t v c n B z K S w 2 N 3 0 m c X V v d D s s J n F 1 b 3 Q 7 U 2 V j d G l v b j E v R l N E L 0 F 1 d G 9 S Z W 1 v d m V k Q 2 9 s d W 1 u c z E u e 0 1 1 e m l l a 3 d l c m s y I C g y Z S B r b 3 J w c y k s N j h 9 J n F 1 b 3 Q 7 L C Z x d W 9 0 O 1 N l Y 3 R p b 2 4 x L 0 Z T R C 9 B d X R v U m V t b 3 Z l Z E N v b H V t b n M x L n t L b 3 J w c y B i Z X N 0 Y W F 0 I H V p d C A u L i 4 g Z G V l b G 5 l b W V y c y A o M m U g a 2 9 y c H M p L D Y 5 f S Z x d W 9 0 O y w m c X V v d D t T Z W N 0 a W 9 u M S 9 G U 0 Q v Q X V 0 b 1 J l b W 9 2 Z W R D b 2 x 1 b W 5 z M S 5 7 T W V j a G F u a X N j a G U g b X V 6 a W V r L D c w f S Z x d W 9 0 O y w m c X V v d D t T Z W N 0 a W 9 u M S 9 G U 0 Q v Q X V 0 b 1 J l b W 9 2 Z W R D b 2 x 1 b W 5 z M S 5 7 T 2 5 k Z X J k Z W x l b i w 3 M X 0 m c X V v d D s s J n F 1 b 3 Q 7 U 2 V j d G l v b j E v R l N E L 0 F 1 d G 9 S Z W 1 v d m V k Q 2 9 s d W 1 u c z E u e 1 N l Y 3 R p Z X M s N z J 9 J n F 1 b 3 Q 7 L C Z x d W 9 0 O 1 N l Y 3 R p b 2 4 x L 0 Z T R C 9 B d X R v U m V t b 3 Z l Z E N v b H V t b n M x L n t M Z W V m d G l q Z H N j Y X R l Z 2 9 y a W U s N z N 9 J n F 1 b 3 Q 7 L C Z x d W 9 0 O 1 N l Y 3 R p b 2 4 x L 0 Z T R C 9 B d X R v U m V t b 3 Z l Z E N v b H V t b n M x L n t B Y W 5 0 Y W w g b 3 B n Z W d l d m V u I G 1 h a m 9 y Z X R 0 Z X M s N z R 9 J n F 1 b 3 Q 7 X S w m c X V v d D t S Z W x h d G l v b n N o a X B J b m Z v J n F 1 b 3 Q 7 O l t d f S I g L z 4 8 L 1 N 0 Y W J s Z U V u d H J p Z X M + P C 9 J d G V t P j x J d G V t P j x J d G V t T G 9 j Y X R p b 2 4 + P E l 0 Z W 1 U e X B l P k Z v c m 1 1 b G E 8 L 0 l 0 Z W 1 U e X B l P j x J d G V t U G F 0 a D 5 T Z W N 0 a W 9 u M S 9 L R E 0 8 L 0 l 0 Z W 1 Q Y X R o P j w v S X R l b U x v Y 2 F 0 a W 9 u P j x T d G F i b G V F b n R y a W V z P j x F b n R y e S B U e X B l P S J C d W Z m Z X J O Z X h 0 U m V m c m V z a C I g V m F s d W U 9 I m w x I i A v P j x F b n R y e S B U e X B l P S J G a W x s R W 5 h Y m x l Z C I g V m F s d W U 9 I m w x I i A v P j x F b n R y e S B U e X B l P S J G a W x s Z W R D b 2 1 w b G V 0 Z V J l c 3 V s d F R v V 2 9 y a 3 N o Z W V 0 I i B W Y W x 1 Z T 0 i b D E i I C 8 + P E V u d H J 5 I F R 5 c G U 9 I k l z U H J p d m F 0 Z S I g V m F s d W U 9 I m w w I i A v P j x F b n R y e S B U e X B l P S J R d W V y e U l E I i B W Y W x 1 Z T 0 i c z Y z O T U 1 M j l l L W U 5 Y T Q t N D B h N y 1 i Z j V m L T E 1 Z G Q y Y j h m M D g 5 Y i I g L z 4 8 R W 5 0 c n k g V H l w Z T 0 i U m V z d W x 0 V H l w Z S I g V m F s d W U 9 I n N U Y W J s Z S I g L z 4 8 R W 5 0 c n k g V H l w Z T 0 i T m F 2 a W d h d G l v b l N 0 Z X B O Y W 1 l I i B W Y W x 1 Z T 0 i c 0 5 h d m l n Y X R p Z S I g L z 4 8 R W 5 0 c n k g V H l w Z T 0 i T m F t Z V V w Z G F 0 Z W R B Z n R l c k Z p b G w i I F Z h b H V l P S J s M C I g L z 4 8 R W 5 0 c n k g V H l w Z T 0 i T G 9 h Z G V k V G 9 B b m F s e X N p c 1 N l c n Z p Y 2 V z I i B W Y W x 1 Z T 0 i b D A i I C 8 + P E V u d H J 5 I F R 5 c G U 9 I k Z p b G x U Y X J n Z X Q i I F Z h b H V l P S J z S 0 R N I i A v P j x F b n R y e S B U e X B l P S J S Z W N v d m V y e V R h c m d l d F J v d y I g V m F s d W U 9 I m w x M C I g L z 4 8 R W 5 0 c n k g V H l w Z T 0 i U m V j b 3 Z l c n l U Y X J n Z X R D b 2 x 1 b W 4 i I F Z h b H V l P S J s M S I g L z 4 8 R W 5 0 c n k g V H l w Z T 0 i U m V j b 3 Z l c n l U Y X J n Z X R T a G V l d C I g V m F s d W U 9 I n N L R E 0 i I C 8 + P E V u d H J 5 I F R 5 c G U 9 I k Z p b G x U b 0 R h d G F N b 2 R l b E V u Y W J s Z W Q i I F Z h b H V l P S J s M C I g L z 4 8 R W 5 0 c n k g V H l w Z T 0 i R m l s b E 9 i a m V j d F R 5 c G U i I F Z h b H V l P S J z V G F i b G U i I C 8 + P E V u d H J 5 I F R 5 c G U 9 I k x v Y W R U b 1 J l c G 9 y d E R p c 2 F i b G V k I i B W Y W x 1 Z T 0 i b D A i I C 8 + P E V u d H J 5 I F R 5 c G U 9 I k Z p b G x M Y X N 0 V X B k Y X R l Z C I g V m F s d W U 9 I m Q y M D I 0 L T E y L T I x V D E y O j Q y O j M 5 L j k 5 M z Q 5 M T B a I i A v P j x F b n R y e S B U e X B l P S J G a W x s R X J y b 3 J D b 3 V u d C I g V m F s d W U 9 I m w w I i A v P j x F b n R y e S B U e X B l P S J G a W x s Q 2 9 s d W 1 u V H l w Z X M i I F Z h b H V l P S J z Q m d Z R 0 J n W U d C Z 1 l E Q X d N R E F 3 T U R B d 1 l H Q m d N R E F 3 T U R B d 1 l H Q X d N R E F 3 T U R B d 0 1 E Q m d Z R E J n T U d B d 1 l E Q m d N R E F 3 T U d C Z 1 l E Q n d j R 0 J n W U d C Z 1 l E Q m d Z R 0 J n W U d B d 1 l H Q m d Z R C I g L z 4 8 R W 5 0 c n k g V H l w Z T 0 i R m l s b E V y c m 9 y Q 2 9 k Z S I g V m F s d W U 9 I n N V b m t u b 3 d u I i A v P j x F b n R y e S B U e X B l P S J G a W x s Q 2 9 s d W 1 u T m F t Z X M i I F Z h b H V l P S J z W y Z x d W 9 0 O 0 t y a W 5 n Z G F n J n F 1 b 3 Q 7 L C Z x d W 9 0 O 1 Z l c i 5 u c i Z x d W 9 0 O y w m c X V v d D t O Y W F t I H Z l c m V u a W d p b m c m c X V v d D s s J n F 1 b 3 Q 7 R G V s Z W d h d G l l J n F 1 b 3 Q 7 L C Z x d W 9 0 O 0 1 1 e m l l a 2 t v c n B z I G J p a i B t Y X J z I G V u I G R l Z m l s X H U w M E U 5 J n F 1 b 3 Q 7 L C Z x d W 9 0 O 0 R l Z W x u L i B q Z X V n Z G t v b m l u Z 3 N j a G l l d G V u J n F 1 b 3 Q 7 L C Z x d W 9 0 O 0 1 h a i 4 g U 2 V u a W 9 y Z W 4 g a n V y Z X J l b i B i a W o g b W F y c y Z x d W 9 0 O y w m c X V v d D t N Y W o u I E p l d W d k I G p 1 c m V y Z W 4 g Y m l q I G 1 h c n M m c X V v d D s s J n F 1 b 3 Q 7 S 2 9 y c H M g c 2 V u a W 9 y Z W 4 m c X V v d D s s J n F 1 b 3 Q 7 S n V u a W 9 y Z W 4 g a 2 9 y c H M g M S Z x d W 9 0 O y w m c X V v d D t K d W 5 p b 3 J l b i B r b 3 J w c y A y J n F 1 b 3 Q 7 L C Z x d W 9 0 O 0 F z c G l y Y W 5 0 Z W 4 g a 2 9 y c H M g M S Z x d W 9 0 O y w m c X V v d D t B c 3 B p c m F u d G V u I G t v c n B z I D I m c X V v d D s s J n F 1 b 3 Q 7 Q W N y b 2 J h d G l z Y 2 g g c 2 V u a W 9 y Z W 4 m c X V v d D s s J n F 1 b 3 Q 7 Q W N y b 2 J h d G l z Y 2 g g a n V u a W 9 y Z W 4 m c X V v d D s s J n F 1 b 3 Q 7 Q W N y b 2 J h d G l z Y 2 g g Y X N w a X J h b n R l b i Z x d W 9 0 O y w m c X V v d D t T a G 9 3 I H N l b m l v c m V u J n F 1 b 3 Q 7 L C Z x d W 9 0 O 1 N o b 3 c g a n V u a W 9 y Z W 4 m c X V v d D s s J n F 1 b 3 Q 7 U 2 h v d y B h c 3 B p c m F u d G V u J n F 1 b 3 Q 7 L C Z x d W 9 0 O 1 N l b m l v c m V u I G l u Z G l 2 L i Z x d W 9 0 O y w m c X V v d D t K d W 5 p b 3 J l b i B p b m R p d i 4 m c X V v d D s s J n F 1 b 3 Q 7 Q X N w a X J h b n R l b i B p b m R p d i 4 m c X V v d D s s J n F 1 b 3 Q 7 U 2 V u L i B p b m Q g b 3 B n Z W d l d m V u I G 5 h b W V u J n F 1 b 3 Q 7 L C Z x d W 9 0 O 0 p 1 b i 4 g a W 5 k I G 9 w Z 2 V n Z X Z l b i B u Y W 1 l b i Z x d W 9 0 O y w m c X V v d D t B c 3 A u I G l u Z C B v c G d l Z 2 V 2 Z W 4 g b m F t Z W 4 m c X V v d D s s J n F 1 b 3 Q 7 S G 9 v Z m R r b 3 J w c y Z x d W 9 0 O y w m c X V v d D s y Z S B r b 3 J w c y Z x d W 9 0 O y w m c X V v d D t H c m 9 l c G V u L C B 0 Z W F t c y w g Z W 5 z Z W 1 i b G V z I G V u I G R 1 b 1 x 1 M D A y N 3 M m c X V v d D s s J n F 1 b 3 Q 7 U 2 V u a W 9 y Z W 4 m c X V v d D s s J n F 1 b 3 Q 7 S m 9 u Z y B 2 b 2 x 3 Y X N z Z W 5 l J n F 1 b 3 Q 7 L C Z x d W 9 0 O 0 p 1 b m l v c m V u J n F 1 b 3 Q 7 L C Z x d W 9 0 O 0 F z c G l y Y W 5 0 Z W 4 m c X V v d D s s J n F 1 b 3 Q 7 T 3 B n Z W d l d m V u I H N l b m l v c m V u J n F 1 b 3 Q 7 L C Z x d W 9 0 O 0 9 w Z 2 V n Z X Z l b i B q b 2 5 n I H Z v b H d h c 3 N l b m U m c X V v d D s s J n F 1 b 3 Q 7 T 3 B n Z W d l d m V u I G p 1 b m l v c m V u J n F 1 b 3 Q 7 L C Z x d W 9 0 O 0 9 w Z 2 V n Z X Z l b i B h c 3 B p c m F u d G V u J n F 1 b 3 Q 7 L C Z x d W 9 0 O 0 1 h c m t l d G V u d H N 0 Z X J z J n F 1 b 3 Q 7 L C Z x d W 9 0 O 0 x 1 Y 2 h 0 Z 2 V 3 Z W V y J n F 1 b 3 Q 7 L C Z x d W 9 0 O 0 F h b n R h b C B s d W N o d G d l d 2 V l c n N j a H V 0 d G V y c y Z x d W 9 0 O y w m c X V v d D t M d W N o d H B p c 3 R v b 2 w m c X V v d D s s J n F 1 b 3 Q 7 Q W F u d G F s I G x 1 Y 2 h 0 c G l z d G 9 v b H N j a H V 0 d G V y c y Z x d W 9 0 O y w m c X V v d D t I Y W 5 k Y m 9 v Z y Z x d W 9 0 O y w m c X V v d D t B Y W 5 0 Y W w g a G F u Z G J v b 2 d z Y 2 h 1 d H R l c n M m c X V v d D s s J n F 1 b 3 Q 7 S 3 J 1 a X N i b 2 9 n J n F 1 b 3 Q 7 L C Z x d W 9 0 O 0 F h b n R h b C B r c n V p c 2 J v b 2 d z Y 2 h 1 d H R l c n M m c X V v d D s s J n F 1 b 3 Q 7 T H V j a H R n Z X d l Z X I g a m V 1 Z 2 Q g b m l l d C B v d W R l c i B k Y W 4 g M T c g a m F h c i 4 m c X V v d D s s J n F 1 b 3 Q 7 Q W F u d G F s I G t v c n B z Z W 4 m c X V v d D s s J n F 1 b 3 Q 7 T 3 B n Z W d l d m V u I G p l d W d k a 2 9 y c H N l b i B M R y Z x d W 9 0 O y w m c X V v d D t U b 3 R h Y W w g Y W F u d G F s I G R l Z W x u Z W 1 l c n M m c X V v d D s s J n F 1 b 3 Q 7 V 2 F h c n Z h b i B h Y W 5 0 Y W w g a m V 1 Z 2 Q g K H Q v b S A x N S B q Y W F y K S Z x d W 9 0 O y w m c X V v d D t L Y W 5 v b i B l d G M u J n F 1 b 3 Q 7 L C Z x d W 9 0 O 1 B h Y X J k Z W 4 g Z W 4 v b 2 Y g a 2 9 l d H N l b i Z x d W 9 0 O y w m c X V v d D t U b 2 V s a W N o d G l u Z y 9 v c G 1 l c m t p b m d l b i Z x d W 9 0 O y w m c X V v d D t J b n p l b m R p b m c t S U Q m c X V v d D s s J n F 1 b 3 Q 7 S W 5 6 Z W 5 k Z G F 0 d W 0 m c X V v d D s s J n F 1 b 3 Q 7 R G F 0 Z S B V c G R h d G V k J n F 1 b 3 Q 7 L C Z x d W 9 0 O 0 5 h Y W 0 g d m F u I G h l d C B o b 2 9 m Z G t v c n B z J n F 1 b 3 Q 7 L C Z x d W 9 0 O 1 p h b C B v c C B 0 c m V k Z W 4 g Y W x z I C h o b 2 9 m Z G t v c n B z K S Z x d W 9 0 O y w m c X V v d D t W b 3 J t I H Z h b i B 0 d 2 V l I G 1 1 e m l l a 3 d l c m t l b i A o a G 9 v Z m R r b 3 J w c y k m c X V v d D s s J n F 1 b 3 Q 7 W m F s I H V p d G t v b W V u I G l u I G R l O i A o a G 9 v Z m R r b 3 J w c y k m c X V v d D s s J n F 1 b 3 Q 7 T X V 6 a W V r d 2 V y a z E g K G h v b 2 Z k a 2 9 y c H M p J n F 1 b 3 Q 7 L C Z x d W 9 0 O 0 1 1 e m l l a 3 d l c m s y I C h o b 2 9 m Z G t v c n B z K S Z x d W 9 0 O y w m c X V v d D t L b 3 J w c y B i Z X N 0 Y W F 0 I H V p d C A u L i 4 g Z G V l b G 5 l b W V y c y A o a G 9 v Z m R r b 3 J w c y k m c X V v d D s s J n F 1 b 3 Q 7 T m F h b S B 2 Y W 4 g a G V 0 I D J l I G t v c n B z J n F 1 b 3 Q 7 L C Z x d W 9 0 O 1 p h b C B v c C B 0 c m V k Z W 4 g Y W x z I C g y Z S B r b 3 J w c y k m c X V v d D s s J n F 1 b 3 Q 7 V m 9 y b S B 2 Y W 4 g d H d l Z S B t d X p p Z W t 3 Z X J r Z W 4 g K D J l I G t v c n B z K S Z x d W 9 0 O y w m c X V v d D t a Y W w g d W l 0 a 2 9 t Z W 4 g a W 4 g Z G U 6 I C g y Z S B r b 3 J w c y k m c X V v d D s s J n F 1 b 3 Q 7 T X V 6 a W V r d 2 V y a z E g K D J l I G t v c n B z K S Z x d W 9 0 O y w m c X V v d D t N d X p p Z W t 3 Z X J r M i A o M m U g a 2 9 y c H M p J n F 1 b 3 Q 7 L C Z x d W 9 0 O 0 t v c n B z I G J l c 3 R h Y X Q g d W l 0 I C 4 u L i B k Z W V s b m V t Z X J z I C g y Z S B r b 3 J w c y k m c X V v d D s s J n F 1 b 3 Q 7 T W V j a G F u a X N j a G U g b X V 6 a W V r J n F 1 b 3 Q 7 L C Z x d W 9 0 O 0 9 u Z G V y Z G V s Z W 4 m c X V v d D s s J n F 1 b 3 Q 7 U 2 V j d G l l c y Z x d W 9 0 O y w m c X V v d D t M Z W V m d G l q Z H N j Y X R l Z 2 9 y a W U m c X V v d D s s J n F 1 b 3 Q 7 Q W F u d G F s I G 9 w Z 2 V n Z X Z l b i B t Y W p v c m V 0 d G V z J n F 1 b 3 Q 7 X S I g L z 4 8 R W 5 0 c n k g V H l w Z T 0 i R m l s b E N v d W 5 0 I i B W Y W x 1 Z T 0 i b D U i I C 8 + P E V u d H J 5 I F R 5 c G U 9 I k Z p b G x T d G F 0 d X M i I F Z h b H V l P S J z Q 2 9 t c G x l d G U i I C 8 + P E V u d H J 5 I F R 5 c G U 9 I k F k Z G V k V G 9 E Y X R h T W 9 k Z W w i I F Z h b H V l P S J s M C I g L z 4 8 R W 5 0 c n k g V H l w Z T 0 i U m V s Y X R p b 2 5 z a G l w S W 5 m b 0 N v b n R h a W 5 l c i I g V m F s d W U 9 I n N 7 J n F 1 b 3 Q 7 Y 2 9 s d W 1 u Q 2 9 1 b n Q m c X V v d D s 6 N z U s J n F 1 b 3 Q 7 a 2 V 5 Q 2 9 s d W 1 u T m F t Z X M m c X V v d D s 6 W 1 0 s J n F 1 b 3 Q 7 c X V l c n l S Z W x h d G l v b n N o a X B z J n F 1 b 3 Q 7 O l t d L C Z x d W 9 0 O 2 N v b H V t b k l k Z W 5 0 a X R p Z X M m c X V v d D s 6 W y Z x d W 9 0 O 1 N l Y 3 R p b 2 4 x L 0 t E T S 9 B d X R v U m V t b 3 Z l Z E N v b H V t b n M x L n t L c m l u Z 2 R h Z y w w f S Z x d W 9 0 O y w m c X V v d D t T Z W N 0 a W 9 u M S 9 L R E 0 v Q X V 0 b 1 J l b W 9 2 Z W R D b 2 x 1 b W 5 z M S 5 7 V m V y L m 5 y L D F 9 J n F 1 b 3 Q 7 L C Z x d W 9 0 O 1 N l Y 3 R p b 2 4 x L 0 t E T S 9 B d X R v U m V t b 3 Z l Z E N v b H V t b n M x L n t O Y W F t I H Z l c m V u a W d p b m c s M n 0 m c X V v d D s s J n F 1 b 3 Q 7 U 2 V j d G l v b j E v S 0 R N L 0 F 1 d G 9 S Z W 1 v d m V k Q 2 9 s d W 1 u c z E u e 0 R l b G V n Y X R p Z S w z f S Z x d W 9 0 O y w m c X V v d D t T Z W N 0 a W 9 u M S 9 L R E 0 v Q X V 0 b 1 J l b W 9 2 Z W R D b 2 x 1 b W 5 z M S 5 7 T X V 6 a W V r a 2 9 y c H M g Y m l q I G 1 h c n M g Z W 4 g Z G V m a W x c d T A w R T k s N H 0 m c X V v d D s s J n F 1 b 3 Q 7 U 2 V j d G l v b j E v S 0 R N L 0 F 1 d G 9 S Z W 1 v d m V k Q 2 9 s d W 1 u c z E u e 0 R l Z W x u L i B q Z X V n Z G t v b m l u Z 3 N j a G l l d G V u L D V 9 J n F 1 b 3 Q 7 L C Z x d W 9 0 O 1 N l Y 3 R p b 2 4 x L 0 t E T S 9 B d X R v U m V t b 3 Z l Z E N v b H V t b n M x L n t N Y W o u I F N l b m l v c m V u I G p 1 c m V y Z W 4 g Y m l q I G 1 h c n M s N n 0 m c X V v d D s s J n F 1 b 3 Q 7 U 2 V j d G l v b j E v S 0 R N L 0 F 1 d G 9 S Z W 1 v d m V k Q 2 9 s d W 1 u c z E u e 0 1 h a i 4 g S m V 1 Z 2 Q g a n V y Z X J l b i B i a W o g b W F y c y w 3 f S Z x d W 9 0 O y w m c X V v d D t T Z W N 0 a W 9 u M S 9 L R E 0 v Q X V 0 b 1 J l b W 9 2 Z W R D b 2 x 1 b W 5 z M S 5 7 S 2 9 y c H M g c 2 V u a W 9 y Z W 4 s O H 0 m c X V v d D s s J n F 1 b 3 Q 7 U 2 V j d G l v b j E v S 0 R N L 0 F 1 d G 9 S Z W 1 v d m V k Q 2 9 s d W 1 u c z E u e 0 p 1 b m l v c m V u I G t v c n B z I D E s O X 0 m c X V v d D s s J n F 1 b 3 Q 7 U 2 V j d G l v b j E v S 0 R N L 0 F 1 d G 9 S Z W 1 v d m V k Q 2 9 s d W 1 u c z E u e 0 p 1 b m l v c m V u I G t v c n B z I D I s M T B 9 J n F 1 b 3 Q 7 L C Z x d W 9 0 O 1 N l Y 3 R p b 2 4 x L 0 t E T S 9 B d X R v U m V t b 3 Z l Z E N v b H V t b n M x L n t B c 3 B p c m F u d G V u I G t v c n B z I D E s M T F 9 J n F 1 b 3 Q 7 L C Z x d W 9 0 O 1 N l Y 3 R p b 2 4 x L 0 t E T S 9 B d X R v U m V t b 3 Z l Z E N v b H V t b n M x L n t B c 3 B p c m F u d G V u I G t v c n B z I D I s M T J 9 J n F 1 b 3 Q 7 L C Z x d W 9 0 O 1 N l Y 3 R p b 2 4 x L 0 t E T S 9 B d X R v U m V t b 3 Z l Z E N v b H V t b n M x L n t B Y 3 J v Y m F 0 a X N j a C B z Z W 5 p b 3 J l b i w x M 3 0 m c X V v d D s s J n F 1 b 3 Q 7 U 2 V j d G l v b j E v S 0 R N L 0 F 1 d G 9 S Z W 1 v d m V k Q 2 9 s d W 1 u c z E u e 0 F j c m 9 i Y X R p c 2 N o I G p 1 b m l v c m V u L D E 0 f S Z x d W 9 0 O y w m c X V v d D t T Z W N 0 a W 9 u M S 9 L R E 0 v Q X V 0 b 1 J l b W 9 2 Z W R D b 2 x 1 b W 5 z M S 5 7 Q W N y b 2 J h d G l z Y 2 g g Y X N w a X J h b n R l b i w x N X 0 m c X V v d D s s J n F 1 b 3 Q 7 U 2 V j d G l v b j E v S 0 R N L 0 F 1 d G 9 S Z W 1 v d m V k Q 2 9 s d W 1 u c z E u e 1 N o b 3 c g c 2 V u a W 9 y Z W 4 s M T Z 9 J n F 1 b 3 Q 7 L C Z x d W 9 0 O 1 N l Y 3 R p b 2 4 x L 0 t E T S 9 B d X R v U m V t b 3 Z l Z E N v b H V t b n M x L n t T a G 9 3 I G p 1 b m l v c m V u L D E 3 f S Z x d W 9 0 O y w m c X V v d D t T Z W N 0 a W 9 u M S 9 L R E 0 v Q X V 0 b 1 J l b W 9 2 Z W R D b 2 x 1 b W 5 z M S 5 7 U 2 h v d y B h c 3 B p c m F u d G V u L D E 4 f S Z x d W 9 0 O y w m c X V v d D t T Z W N 0 a W 9 u M S 9 L R E 0 v Q X V 0 b 1 J l b W 9 2 Z W R D b 2 x 1 b W 5 z M S 5 7 U 2 V u a W 9 y Z W 4 g a W 5 k a X Y u L D E 5 f S Z x d W 9 0 O y w m c X V v d D t T Z W N 0 a W 9 u M S 9 L R E 0 v Q X V 0 b 1 J l b W 9 2 Z W R D b 2 x 1 b W 5 z M S 5 7 S n V u a W 9 y Z W 4 g a W 5 k a X Y u L D I w f S Z x d W 9 0 O y w m c X V v d D t T Z W N 0 a W 9 u M S 9 L R E 0 v Q X V 0 b 1 J l b W 9 2 Z W R D b 2 x 1 b W 5 z M S 5 7 Q X N w a X J h b n R l b i B p b m R p d i 4 s M j F 9 J n F 1 b 3 Q 7 L C Z x d W 9 0 O 1 N l Y 3 R p b 2 4 x L 0 t E T S 9 B d X R v U m V t b 3 Z l Z E N v b H V t b n M x L n t T Z W 4 u I G l u Z C B v c G d l Z 2 V 2 Z W 4 g b m F t Z W 4 s M j J 9 J n F 1 b 3 Q 7 L C Z x d W 9 0 O 1 N l Y 3 R p b 2 4 x L 0 t E T S 9 B d X R v U m V t b 3 Z l Z E N v b H V t b n M x L n t K d W 4 u I G l u Z C B v c G d l Z 2 V 2 Z W 4 g b m F t Z W 4 s M j N 9 J n F 1 b 3 Q 7 L C Z x d W 9 0 O 1 N l Y 3 R p b 2 4 x L 0 t E T S 9 B d X R v U m V t b 3 Z l Z E N v b H V t b n M x L n t B c 3 A u I G l u Z C B v c G d l Z 2 V 2 Z W 4 g b m F t Z W 4 s M j R 9 J n F 1 b 3 Q 7 L C Z x d W 9 0 O 1 N l Y 3 R p b 2 4 x L 0 t E T S 9 B d X R v U m V t b 3 Z l Z E N v b H V t b n M x L n t I b 2 9 m Z G t v c n B z L D I 1 f S Z x d W 9 0 O y w m c X V v d D t T Z W N 0 a W 9 u M S 9 L R E 0 v Q X V 0 b 1 J l b W 9 2 Z W R D b 2 x 1 b W 5 z M S 5 7 M m U g a 2 9 y c H M s M j Z 9 J n F 1 b 3 Q 7 L C Z x d W 9 0 O 1 N l Y 3 R p b 2 4 x L 0 t E T S 9 B d X R v U m V t b 3 Z l Z E N v b H V t b n M x L n t H c m 9 l c G V u L C B 0 Z W F t c y w g Z W 5 z Z W 1 i b G V z I G V u I G R 1 b 1 x 1 M D A y N 3 M s M j d 9 J n F 1 b 3 Q 7 L C Z x d W 9 0 O 1 N l Y 3 R p b 2 4 x L 0 t E T S 9 B d X R v U m V t b 3 Z l Z E N v b H V t b n M x L n t T Z W 5 p b 3 J l b i w y O H 0 m c X V v d D s s J n F 1 b 3 Q 7 U 2 V j d G l v b j E v S 0 R N L 0 F 1 d G 9 S Z W 1 v d m V k Q 2 9 s d W 1 u c z E u e 0 p v b m c g d m 9 s d 2 F z c 2 V u Z S w y O X 0 m c X V v d D s s J n F 1 b 3 Q 7 U 2 V j d G l v b j E v S 0 R N L 0 F 1 d G 9 S Z W 1 v d m V k Q 2 9 s d W 1 u c z E u e 0 p 1 b m l v c m V u L D M w f S Z x d W 9 0 O y w m c X V v d D t T Z W N 0 a W 9 u M S 9 L R E 0 v Q X V 0 b 1 J l b W 9 2 Z W R D b 2 x 1 b W 5 z M S 5 7 Q X N w a X J h b n R l b i w z M X 0 m c X V v d D s s J n F 1 b 3 Q 7 U 2 V j d G l v b j E v S 0 R N L 0 F 1 d G 9 S Z W 1 v d m V k Q 2 9 s d W 1 u c z E u e 0 9 w Z 2 V n Z X Z l b i B z Z W 5 p b 3 J l b i w z M n 0 m c X V v d D s s J n F 1 b 3 Q 7 U 2 V j d G l v b j E v S 0 R N L 0 F 1 d G 9 S Z W 1 v d m V k Q 2 9 s d W 1 u c z E u e 0 9 w Z 2 V n Z X Z l b i B q b 2 5 n I H Z v b H d h c 3 N l b m U s M z N 9 J n F 1 b 3 Q 7 L C Z x d W 9 0 O 1 N l Y 3 R p b 2 4 x L 0 t E T S 9 B d X R v U m V t b 3 Z l Z E N v b H V t b n M x L n t P c G d l Z 2 V 2 Z W 4 g a n V u a W 9 y Z W 4 s M z R 9 J n F 1 b 3 Q 7 L C Z x d W 9 0 O 1 N l Y 3 R p b 2 4 x L 0 t E T S 9 B d X R v U m V t b 3 Z l Z E N v b H V t b n M x L n t P c G d l Z 2 V 2 Z W 4 g Y X N w a X J h b n R l b i w z N X 0 m c X V v d D s s J n F 1 b 3 Q 7 U 2 V j d G l v b j E v S 0 R N L 0 F 1 d G 9 S Z W 1 v d m V k Q 2 9 s d W 1 u c z E u e 0 1 h c m t l d G V u d H N 0 Z X J z L D M 2 f S Z x d W 9 0 O y w m c X V v d D t T Z W N 0 a W 9 u M S 9 L R E 0 v Q X V 0 b 1 J l b W 9 2 Z W R D b 2 x 1 b W 5 z M S 5 7 T H V j a H R n Z X d l Z X I s M z d 9 J n F 1 b 3 Q 7 L C Z x d W 9 0 O 1 N l Y 3 R p b 2 4 x L 0 t E T S 9 B d X R v U m V t b 3 Z l Z E N v b H V t b n M x L n t B Y W 5 0 Y W w g b H V j a H R n Z X d l Z X J z Y 2 h 1 d H R l c n M s M z h 9 J n F 1 b 3 Q 7 L C Z x d W 9 0 O 1 N l Y 3 R p b 2 4 x L 0 t E T S 9 B d X R v U m V t b 3 Z l Z E N v b H V t b n M x L n t M d W N o d H B p c 3 R v b 2 w s M z l 9 J n F 1 b 3 Q 7 L C Z x d W 9 0 O 1 N l Y 3 R p b 2 4 x L 0 t E T S 9 B d X R v U m V t b 3 Z l Z E N v b H V t b n M x L n t B Y W 5 0 Y W w g b H V j a H R w a X N 0 b 2 9 s c 2 N o d X R 0 Z X J z L D Q w f S Z x d W 9 0 O y w m c X V v d D t T Z W N 0 a W 9 u M S 9 L R E 0 v Q X V 0 b 1 J l b W 9 2 Z W R D b 2 x 1 b W 5 z M S 5 7 S G F u Z G J v b 2 c s N D F 9 J n F 1 b 3 Q 7 L C Z x d W 9 0 O 1 N l Y 3 R p b 2 4 x L 0 t E T S 9 B d X R v U m V t b 3 Z l Z E N v b H V t b n M x L n t B Y W 5 0 Y W w g a G F u Z G J v b 2 d z Y 2 h 1 d H R l c n M s N D J 9 J n F 1 b 3 Q 7 L C Z x d W 9 0 O 1 N l Y 3 R p b 2 4 x L 0 t E T S 9 B d X R v U m V t b 3 Z l Z E N v b H V t b n M x L n t L c n V p c 2 J v b 2 c s N D N 9 J n F 1 b 3 Q 7 L C Z x d W 9 0 O 1 N l Y 3 R p b 2 4 x L 0 t E T S 9 B d X R v U m V t b 3 Z l Z E N v b H V t b n M x L n t B Y W 5 0 Y W w g a 3 J 1 a X N i b 2 9 n c 2 N o d X R 0 Z X J z L D Q 0 f S Z x d W 9 0 O y w m c X V v d D t T Z W N 0 a W 9 u M S 9 L R E 0 v Q X V 0 b 1 J l b W 9 2 Z W R D b 2 x 1 b W 5 z M S 5 7 T H V j a H R n Z X d l Z X I g a m V 1 Z 2 Q g b m l l d C B v d W R l c i B k Y W 4 g M T c g a m F h c i 4 s N D V 9 J n F 1 b 3 Q 7 L C Z x d W 9 0 O 1 N l Y 3 R p b 2 4 x L 0 t E T S 9 B d X R v U m V t b 3 Z l Z E N v b H V t b n M x L n t B Y W 5 0 Y W w g a 2 9 y c H N l b i w 0 N n 0 m c X V v d D s s J n F 1 b 3 Q 7 U 2 V j d G l v b j E v S 0 R N L 0 F 1 d G 9 S Z W 1 v d m V k Q 2 9 s d W 1 u c z E u e 0 9 w Z 2 V n Z X Z l b i B q Z X V n Z G t v c n B z Z W 4 g T E c s N D d 9 J n F 1 b 3 Q 7 L C Z x d W 9 0 O 1 N l Y 3 R p b 2 4 x L 0 t E T S 9 B d X R v U m V t b 3 Z l Z E N v b H V t b n M x L n t U b 3 R h Y W w g Y W F u d G F s I G R l Z W x u Z W 1 l c n M s N D h 9 J n F 1 b 3 Q 7 L C Z x d W 9 0 O 1 N l Y 3 R p b 2 4 x L 0 t E T S 9 B d X R v U m V t b 3 Z l Z E N v b H V t b n M x L n t X Y W F y d m F u I G F h b n R h b C B q Z X V n Z C A o d C 9 t I D E 1 I G p h Y X I p L D Q 5 f S Z x d W 9 0 O y w m c X V v d D t T Z W N 0 a W 9 u M S 9 L R E 0 v Q X V 0 b 1 J l b W 9 2 Z W R D b 2 x 1 b W 5 z M S 5 7 S 2 F u b 2 4 g Z X R j L i w 1 M H 0 m c X V v d D s s J n F 1 b 3 Q 7 U 2 V j d G l v b j E v S 0 R N L 0 F 1 d G 9 S Z W 1 v d m V k Q 2 9 s d W 1 u c z E u e 1 B h Y X J k Z W 4 g Z W 4 v b 2 Y g a 2 9 l d H N l b i w 1 M X 0 m c X V v d D s s J n F 1 b 3 Q 7 U 2 V j d G l v b j E v S 0 R N L 0 F 1 d G 9 S Z W 1 v d m V k Q 2 9 s d W 1 u c z E u e 1 R v Z W x p Y 2 h 0 a W 5 n L 2 9 w b W V y a 2 l u Z 2 V u L D U y f S Z x d W 9 0 O y w m c X V v d D t T Z W N 0 a W 9 u M S 9 L R E 0 v Q X V 0 b 1 J l b W 9 2 Z W R D b 2 x 1 b W 5 z M S 5 7 S W 5 6 Z W 5 k a W 5 n L U l E L D U z f S Z x d W 9 0 O y w m c X V v d D t T Z W N 0 a W 9 u M S 9 L R E 0 v Q X V 0 b 1 J l b W 9 2 Z W R D b 2 x 1 b W 5 z M S 5 7 S W 5 6 Z W 5 k Z G F 0 d W 0 s N T R 9 J n F 1 b 3 Q 7 L C Z x d W 9 0 O 1 N l Y 3 R p b 2 4 x L 0 t E T S 9 B d X R v U m V t b 3 Z l Z E N v b H V t b n M x L n t E Y X R l I F V w Z G F 0 Z W Q s N T V 9 J n F 1 b 3 Q 7 L C Z x d W 9 0 O 1 N l Y 3 R p b 2 4 x L 0 t E T S 9 B d X R v U m V t b 3 Z l Z E N v b H V t b n M x L n t O Y W F t I H Z h b i B o Z X Q g a G 9 v Z m R r b 3 J w c y w 1 N n 0 m c X V v d D s s J n F 1 b 3 Q 7 U 2 V j d G l v b j E v S 0 R N L 0 F 1 d G 9 S Z W 1 v d m V k Q 2 9 s d W 1 u c z E u e 1 p h b C B v c C B 0 c m V k Z W 4 g Y W x z I C h o b 2 9 m Z G t v c n B z K S w 1 N 3 0 m c X V v d D s s J n F 1 b 3 Q 7 U 2 V j d G l v b j E v S 0 R N L 0 F 1 d G 9 S Z W 1 v d m V k Q 2 9 s d W 1 u c z E u e 1 Z v c m 0 g d m F u I H R 3 Z W U g b X V 6 a W V r d 2 V y a 2 V u I C h o b 2 9 m Z G t v c n B z K S w 1 O H 0 m c X V v d D s s J n F 1 b 3 Q 7 U 2 V j d G l v b j E v S 0 R N L 0 F 1 d G 9 S Z W 1 v d m V k Q 2 9 s d W 1 u c z E u e 1 p h b C B 1 a X R r b 2 1 l b i B p b i B k Z T o g K G h v b 2 Z k a 2 9 y c H M p L D U 5 f S Z x d W 9 0 O y w m c X V v d D t T Z W N 0 a W 9 u M S 9 L R E 0 v Q X V 0 b 1 J l b W 9 2 Z W R D b 2 x 1 b W 5 z M S 5 7 T X V 6 a W V r d 2 V y a z E g K G h v b 2 Z k a 2 9 y c H M p L D Y w f S Z x d W 9 0 O y w m c X V v d D t T Z W N 0 a W 9 u M S 9 L R E 0 v Q X V 0 b 1 J l b W 9 2 Z W R D b 2 x 1 b W 5 z M S 5 7 T X V 6 a W V r d 2 V y a z I g K G h v b 2 Z k a 2 9 y c H M p L D Y x f S Z x d W 9 0 O y w m c X V v d D t T Z W N 0 a W 9 u M S 9 L R E 0 v Q X V 0 b 1 J l b W 9 2 Z W R D b 2 x 1 b W 5 z M S 5 7 S 2 9 y c H M g Y m V z d G F h d C B 1 a X Q g L i 4 u I G R l Z W x u Z W 1 l c n M g K G h v b 2 Z k a 2 9 y c H M p L D Y y f S Z x d W 9 0 O y w m c X V v d D t T Z W N 0 a W 9 u M S 9 L R E 0 v Q X V 0 b 1 J l b W 9 2 Z W R D b 2 x 1 b W 5 z M S 5 7 T m F h b S B 2 Y W 4 g a G V 0 I D J l I G t v c n B z L D Y z f S Z x d W 9 0 O y w m c X V v d D t T Z W N 0 a W 9 u M S 9 L R E 0 v Q X V 0 b 1 J l b W 9 2 Z W R D b 2 x 1 b W 5 z M S 5 7 W m F s I G 9 w I H R y Z W R l b i B h b H M g K D J l I G t v c n B z K S w 2 N H 0 m c X V v d D s s J n F 1 b 3 Q 7 U 2 V j d G l v b j E v S 0 R N L 0 F 1 d G 9 S Z W 1 v d m V k Q 2 9 s d W 1 u c z E u e 1 Z v c m 0 g d m F u I H R 3 Z W U g b X V 6 a W V r d 2 V y a 2 V u I C g y Z S B r b 3 J w c y k s N j V 9 J n F 1 b 3 Q 7 L C Z x d W 9 0 O 1 N l Y 3 R p b 2 4 x L 0 t E T S 9 B d X R v U m V t b 3 Z l Z E N v b H V t b n M x L n t a Y W w g d W l 0 a 2 9 t Z W 4 g a W 4 g Z G U 6 I C g y Z S B r b 3 J w c y k s N j Z 9 J n F 1 b 3 Q 7 L C Z x d W 9 0 O 1 N l Y 3 R p b 2 4 x L 0 t E T S 9 B d X R v U m V t b 3 Z l Z E N v b H V t b n M x L n t N d X p p Z W t 3 Z X J r M S A o M m U g a 2 9 y c H M p L D Y 3 f S Z x d W 9 0 O y w m c X V v d D t T Z W N 0 a W 9 u M S 9 L R E 0 v Q X V 0 b 1 J l b W 9 2 Z W R D b 2 x 1 b W 5 z M S 5 7 T X V 6 a W V r d 2 V y a z I g K D J l I G t v c n B z K S w 2 O H 0 m c X V v d D s s J n F 1 b 3 Q 7 U 2 V j d G l v b j E v S 0 R N L 0 F 1 d G 9 S Z W 1 v d m V k Q 2 9 s d W 1 u c z E u e 0 t v c n B z I G J l c 3 R h Y X Q g d W l 0 I C 4 u L i B k Z W V s b m V t Z X J z I C g y Z S B r b 3 J w c y k s N j l 9 J n F 1 b 3 Q 7 L C Z x d W 9 0 O 1 N l Y 3 R p b 2 4 x L 0 t E T S 9 B d X R v U m V t b 3 Z l Z E N v b H V t b n M x L n t N Z W N o Y W 5 p c 2 N o Z S B t d X p p Z W s s N z B 9 J n F 1 b 3 Q 7 L C Z x d W 9 0 O 1 N l Y 3 R p b 2 4 x L 0 t E T S 9 B d X R v U m V t b 3 Z l Z E N v b H V t b n M x L n t P b m R l c m R l b G V u L D c x f S Z x d W 9 0 O y w m c X V v d D t T Z W N 0 a W 9 u M S 9 L R E 0 v Q X V 0 b 1 J l b W 9 2 Z W R D b 2 x 1 b W 5 z M S 5 7 U 2 V j d G l l c y w 3 M n 0 m c X V v d D s s J n F 1 b 3 Q 7 U 2 V j d G l v b j E v S 0 R N L 0 F 1 d G 9 S Z W 1 v d m V k Q 2 9 s d W 1 u c z E u e 0 x l Z W Z 0 a W p k c 2 N h d G V n b 3 J p Z S w 3 M 3 0 m c X V v d D s s J n F 1 b 3 Q 7 U 2 V j d G l v b j E v S 0 R N L 0 F 1 d G 9 S Z W 1 v d m V k Q 2 9 s d W 1 u c z E u e 0 F h b n R h b C B v c G d l Z 2 V 2 Z W 4 g b W F q b 3 J l d H R l c y w 3 N H 0 m c X V v d D t d L C Z x d W 9 0 O 0 N v b H V t b k N v d W 5 0 J n F 1 b 3 Q 7 O j c 1 L C Z x d W 9 0 O 0 t l e U N v b H V t b k 5 h b W V z J n F 1 b 3 Q 7 O l t d L C Z x d W 9 0 O 0 N v b H V t b k l k Z W 5 0 a X R p Z X M m c X V v d D s 6 W y Z x d W 9 0 O 1 N l Y 3 R p b 2 4 x L 0 t E T S 9 B d X R v U m V t b 3 Z l Z E N v b H V t b n M x L n t L c m l u Z 2 R h Z y w w f S Z x d W 9 0 O y w m c X V v d D t T Z W N 0 a W 9 u M S 9 L R E 0 v Q X V 0 b 1 J l b W 9 2 Z W R D b 2 x 1 b W 5 z M S 5 7 V m V y L m 5 y L D F 9 J n F 1 b 3 Q 7 L C Z x d W 9 0 O 1 N l Y 3 R p b 2 4 x L 0 t E T S 9 B d X R v U m V t b 3 Z l Z E N v b H V t b n M x L n t O Y W F t I H Z l c m V u a W d p b m c s M n 0 m c X V v d D s s J n F 1 b 3 Q 7 U 2 V j d G l v b j E v S 0 R N L 0 F 1 d G 9 S Z W 1 v d m V k Q 2 9 s d W 1 u c z E u e 0 R l b G V n Y X R p Z S w z f S Z x d W 9 0 O y w m c X V v d D t T Z W N 0 a W 9 u M S 9 L R E 0 v Q X V 0 b 1 J l b W 9 2 Z W R D b 2 x 1 b W 5 z M S 5 7 T X V 6 a W V r a 2 9 y c H M g Y m l q I G 1 h c n M g Z W 4 g Z G V m a W x c d T A w R T k s N H 0 m c X V v d D s s J n F 1 b 3 Q 7 U 2 V j d G l v b j E v S 0 R N L 0 F 1 d G 9 S Z W 1 v d m V k Q 2 9 s d W 1 u c z E u e 0 R l Z W x u L i B q Z X V n Z G t v b m l u Z 3 N j a G l l d G V u L D V 9 J n F 1 b 3 Q 7 L C Z x d W 9 0 O 1 N l Y 3 R p b 2 4 x L 0 t E T S 9 B d X R v U m V t b 3 Z l Z E N v b H V t b n M x L n t N Y W o u I F N l b m l v c m V u I G p 1 c m V y Z W 4 g Y m l q I G 1 h c n M s N n 0 m c X V v d D s s J n F 1 b 3 Q 7 U 2 V j d G l v b j E v S 0 R N L 0 F 1 d G 9 S Z W 1 v d m V k Q 2 9 s d W 1 u c z E u e 0 1 h a i 4 g S m V 1 Z 2 Q g a n V y Z X J l b i B i a W o g b W F y c y w 3 f S Z x d W 9 0 O y w m c X V v d D t T Z W N 0 a W 9 u M S 9 L R E 0 v Q X V 0 b 1 J l b W 9 2 Z W R D b 2 x 1 b W 5 z M S 5 7 S 2 9 y c H M g c 2 V u a W 9 y Z W 4 s O H 0 m c X V v d D s s J n F 1 b 3 Q 7 U 2 V j d G l v b j E v S 0 R N L 0 F 1 d G 9 S Z W 1 v d m V k Q 2 9 s d W 1 u c z E u e 0 p 1 b m l v c m V u I G t v c n B z I D E s O X 0 m c X V v d D s s J n F 1 b 3 Q 7 U 2 V j d G l v b j E v S 0 R N L 0 F 1 d G 9 S Z W 1 v d m V k Q 2 9 s d W 1 u c z E u e 0 p 1 b m l v c m V u I G t v c n B z I D I s M T B 9 J n F 1 b 3 Q 7 L C Z x d W 9 0 O 1 N l Y 3 R p b 2 4 x L 0 t E T S 9 B d X R v U m V t b 3 Z l Z E N v b H V t b n M x L n t B c 3 B p c m F u d G V u I G t v c n B z I D E s M T F 9 J n F 1 b 3 Q 7 L C Z x d W 9 0 O 1 N l Y 3 R p b 2 4 x L 0 t E T S 9 B d X R v U m V t b 3 Z l Z E N v b H V t b n M x L n t B c 3 B p c m F u d G V u I G t v c n B z I D I s M T J 9 J n F 1 b 3 Q 7 L C Z x d W 9 0 O 1 N l Y 3 R p b 2 4 x L 0 t E T S 9 B d X R v U m V t b 3 Z l Z E N v b H V t b n M x L n t B Y 3 J v Y m F 0 a X N j a C B z Z W 5 p b 3 J l b i w x M 3 0 m c X V v d D s s J n F 1 b 3 Q 7 U 2 V j d G l v b j E v S 0 R N L 0 F 1 d G 9 S Z W 1 v d m V k Q 2 9 s d W 1 u c z E u e 0 F j c m 9 i Y X R p c 2 N o I G p 1 b m l v c m V u L D E 0 f S Z x d W 9 0 O y w m c X V v d D t T Z W N 0 a W 9 u M S 9 L R E 0 v Q X V 0 b 1 J l b W 9 2 Z W R D b 2 x 1 b W 5 z M S 5 7 Q W N y b 2 J h d G l z Y 2 g g Y X N w a X J h b n R l b i w x N X 0 m c X V v d D s s J n F 1 b 3 Q 7 U 2 V j d G l v b j E v S 0 R N L 0 F 1 d G 9 S Z W 1 v d m V k Q 2 9 s d W 1 u c z E u e 1 N o b 3 c g c 2 V u a W 9 y Z W 4 s M T Z 9 J n F 1 b 3 Q 7 L C Z x d W 9 0 O 1 N l Y 3 R p b 2 4 x L 0 t E T S 9 B d X R v U m V t b 3 Z l Z E N v b H V t b n M x L n t T a G 9 3 I G p 1 b m l v c m V u L D E 3 f S Z x d W 9 0 O y w m c X V v d D t T Z W N 0 a W 9 u M S 9 L R E 0 v Q X V 0 b 1 J l b W 9 2 Z W R D b 2 x 1 b W 5 z M S 5 7 U 2 h v d y B h c 3 B p c m F u d G V u L D E 4 f S Z x d W 9 0 O y w m c X V v d D t T Z W N 0 a W 9 u M S 9 L R E 0 v Q X V 0 b 1 J l b W 9 2 Z W R D b 2 x 1 b W 5 z M S 5 7 U 2 V u a W 9 y Z W 4 g a W 5 k a X Y u L D E 5 f S Z x d W 9 0 O y w m c X V v d D t T Z W N 0 a W 9 u M S 9 L R E 0 v Q X V 0 b 1 J l b W 9 2 Z W R D b 2 x 1 b W 5 z M S 5 7 S n V u a W 9 y Z W 4 g a W 5 k a X Y u L D I w f S Z x d W 9 0 O y w m c X V v d D t T Z W N 0 a W 9 u M S 9 L R E 0 v Q X V 0 b 1 J l b W 9 2 Z W R D b 2 x 1 b W 5 z M S 5 7 Q X N w a X J h b n R l b i B p b m R p d i 4 s M j F 9 J n F 1 b 3 Q 7 L C Z x d W 9 0 O 1 N l Y 3 R p b 2 4 x L 0 t E T S 9 B d X R v U m V t b 3 Z l Z E N v b H V t b n M x L n t T Z W 4 u I G l u Z C B v c G d l Z 2 V 2 Z W 4 g b m F t Z W 4 s M j J 9 J n F 1 b 3 Q 7 L C Z x d W 9 0 O 1 N l Y 3 R p b 2 4 x L 0 t E T S 9 B d X R v U m V t b 3 Z l Z E N v b H V t b n M x L n t K d W 4 u I G l u Z C B v c G d l Z 2 V 2 Z W 4 g b m F t Z W 4 s M j N 9 J n F 1 b 3 Q 7 L C Z x d W 9 0 O 1 N l Y 3 R p b 2 4 x L 0 t E T S 9 B d X R v U m V t b 3 Z l Z E N v b H V t b n M x L n t B c 3 A u I G l u Z C B v c G d l Z 2 V 2 Z W 4 g b m F t Z W 4 s M j R 9 J n F 1 b 3 Q 7 L C Z x d W 9 0 O 1 N l Y 3 R p b 2 4 x L 0 t E T S 9 B d X R v U m V t b 3 Z l Z E N v b H V t b n M x L n t I b 2 9 m Z G t v c n B z L D I 1 f S Z x d W 9 0 O y w m c X V v d D t T Z W N 0 a W 9 u M S 9 L R E 0 v Q X V 0 b 1 J l b W 9 2 Z W R D b 2 x 1 b W 5 z M S 5 7 M m U g a 2 9 y c H M s M j Z 9 J n F 1 b 3 Q 7 L C Z x d W 9 0 O 1 N l Y 3 R p b 2 4 x L 0 t E T S 9 B d X R v U m V t b 3 Z l Z E N v b H V t b n M x L n t H c m 9 l c G V u L C B 0 Z W F t c y w g Z W 5 z Z W 1 i b G V z I G V u I G R 1 b 1 x 1 M D A y N 3 M s M j d 9 J n F 1 b 3 Q 7 L C Z x d W 9 0 O 1 N l Y 3 R p b 2 4 x L 0 t E T S 9 B d X R v U m V t b 3 Z l Z E N v b H V t b n M x L n t T Z W 5 p b 3 J l b i w y O H 0 m c X V v d D s s J n F 1 b 3 Q 7 U 2 V j d G l v b j E v S 0 R N L 0 F 1 d G 9 S Z W 1 v d m V k Q 2 9 s d W 1 u c z E u e 0 p v b m c g d m 9 s d 2 F z c 2 V u Z S w y O X 0 m c X V v d D s s J n F 1 b 3 Q 7 U 2 V j d G l v b j E v S 0 R N L 0 F 1 d G 9 S Z W 1 v d m V k Q 2 9 s d W 1 u c z E u e 0 p 1 b m l v c m V u L D M w f S Z x d W 9 0 O y w m c X V v d D t T Z W N 0 a W 9 u M S 9 L R E 0 v Q X V 0 b 1 J l b W 9 2 Z W R D b 2 x 1 b W 5 z M S 5 7 Q X N w a X J h b n R l b i w z M X 0 m c X V v d D s s J n F 1 b 3 Q 7 U 2 V j d G l v b j E v S 0 R N L 0 F 1 d G 9 S Z W 1 v d m V k Q 2 9 s d W 1 u c z E u e 0 9 w Z 2 V n Z X Z l b i B z Z W 5 p b 3 J l b i w z M n 0 m c X V v d D s s J n F 1 b 3 Q 7 U 2 V j d G l v b j E v S 0 R N L 0 F 1 d G 9 S Z W 1 v d m V k Q 2 9 s d W 1 u c z E u e 0 9 w Z 2 V n Z X Z l b i B q b 2 5 n I H Z v b H d h c 3 N l b m U s M z N 9 J n F 1 b 3 Q 7 L C Z x d W 9 0 O 1 N l Y 3 R p b 2 4 x L 0 t E T S 9 B d X R v U m V t b 3 Z l Z E N v b H V t b n M x L n t P c G d l Z 2 V 2 Z W 4 g a n V u a W 9 y Z W 4 s M z R 9 J n F 1 b 3 Q 7 L C Z x d W 9 0 O 1 N l Y 3 R p b 2 4 x L 0 t E T S 9 B d X R v U m V t b 3 Z l Z E N v b H V t b n M x L n t P c G d l Z 2 V 2 Z W 4 g Y X N w a X J h b n R l b i w z N X 0 m c X V v d D s s J n F 1 b 3 Q 7 U 2 V j d G l v b j E v S 0 R N L 0 F 1 d G 9 S Z W 1 v d m V k Q 2 9 s d W 1 u c z E u e 0 1 h c m t l d G V u d H N 0 Z X J z L D M 2 f S Z x d W 9 0 O y w m c X V v d D t T Z W N 0 a W 9 u M S 9 L R E 0 v Q X V 0 b 1 J l b W 9 2 Z W R D b 2 x 1 b W 5 z M S 5 7 T H V j a H R n Z X d l Z X I s M z d 9 J n F 1 b 3 Q 7 L C Z x d W 9 0 O 1 N l Y 3 R p b 2 4 x L 0 t E T S 9 B d X R v U m V t b 3 Z l Z E N v b H V t b n M x L n t B Y W 5 0 Y W w g b H V j a H R n Z X d l Z X J z Y 2 h 1 d H R l c n M s M z h 9 J n F 1 b 3 Q 7 L C Z x d W 9 0 O 1 N l Y 3 R p b 2 4 x L 0 t E T S 9 B d X R v U m V t b 3 Z l Z E N v b H V t b n M x L n t M d W N o d H B p c 3 R v b 2 w s M z l 9 J n F 1 b 3 Q 7 L C Z x d W 9 0 O 1 N l Y 3 R p b 2 4 x L 0 t E T S 9 B d X R v U m V t b 3 Z l Z E N v b H V t b n M x L n t B Y W 5 0 Y W w g b H V j a H R w a X N 0 b 2 9 s c 2 N o d X R 0 Z X J z L D Q w f S Z x d W 9 0 O y w m c X V v d D t T Z W N 0 a W 9 u M S 9 L R E 0 v Q X V 0 b 1 J l b W 9 2 Z W R D b 2 x 1 b W 5 z M S 5 7 S G F u Z G J v b 2 c s N D F 9 J n F 1 b 3 Q 7 L C Z x d W 9 0 O 1 N l Y 3 R p b 2 4 x L 0 t E T S 9 B d X R v U m V t b 3 Z l Z E N v b H V t b n M x L n t B Y W 5 0 Y W w g a G F u Z G J v b 2 d z Y 2 h 1 d H R l c n M s N D J 9 J n F 1 b 3 Q 7 L C Z x d W 9 0 O 1 N l Y 3 R p b 2 4 x L 0 t E T S 9 B d X R v U m V t b 3 Z l Z E N v b H V t b n M x L n t L c n V p c 2 J v b 2 c s N D N 9 J n F 1 b 3 Q 7 L C Z x d W 9 0 O 1 N l Y 3 R p b 2 4 x L 0 t E T S 9 B d X R v U m V t b 3 Z l Z E N v b H V t b n M x L n t B Y W 5 0 Y W w g a 3 J 1 a X N i b 2 9 n c 2 N o d X R 0 Z X J z L D Q 0 f S Z x d W 9 0 O y w m c X V v d D t T Z W N 0 a W 9 u M S 9 L R E 0 v Q X V 0 b 1 J l b W 9 2 Z W R D b 2 x 1 b W 5 z M S 5 7 T H V j a H R n Z X d l Z X I g a m V 1 Z 2 Q g b m l l d C B v d W R l c i B k Y W 4 g M T c g a m F h c i 4 s N D V 9 J n F 1 b 3 Q 7 L C Z x d W 9 0 O 1 N l Y 3 R p b 2 4 x L 0 t E T S 9 B d X R v U m V t b 3 Z l Z E N v b H V t b n M x L n t B Y W 5 0 Y W w g a 2 9 y c H N l b i w 0 N n 0 m c X V v d D s s J n F 1 b 3 Q 7 U 2 V j d G l v b j E v S 0 R N L 0 F 1 d G 9 S Z W 1 v d m V k Q 2 9 s d W 1 u c z E u e 0 9 w Z 2 V n Z X Z l b i B q Z X V n Z G t v c n B z Z W 4 g T E c s N D d 9 J n F 1 b 3 Q 7 L C Z x d W 9 0 O 1 N l Y 3 R p b 2 4 x L 0 t E T S 9 B d X R v U m V t b 3 Z l Z E N v b H V t b n M x L n t U b 3 R h Y W w g Y W F u d G F s I G R l Z W x u Z W 1 l c n M s N D h 9 J n F 1 b 3 Q 7 L C Z x d W 9 0 O 1 N l Y 3 R p b 2 4 x L 0 t E T S 9 B d X R v U m V t b 3 Z l Z E N v b H V t b n M x L n t X Y W F y d m F u I G F h b n R h b C B q Z X V n Z C A o d C 9 t I D E 1 I G p h Y X I p L D Q 5 f S Z x d W 9 0 O y w m c X V v d D t T Z W N 0 a W 9 u M S 9 L R E 0 v Q X V 0 b 1 J l b W 9 2 Z W R D b 2 x 1 b W 5 z M S 5 7 S 2 F u b 2 4 g Z X R j L i w 1 M H 0 m c X V v d D s s J n F 1 b 3 Q 7 U 2 V j d G l v b j E v S 0 R N L 0 F 1 d G 9 S Z W 1 v d m V k Q 2 9 s d W 1 u c z E u e 1 B h Y X J k Z W 4 g Z W 4 v b 2 Y g a 2 9 l d H N l b i w 1 M X 0 m c X V v d D s s J n F 1 b 3 Q 7 U 2 V j d G l v b j E v S 0 R N L 0 F 1 d G 9 S Z W 1 v d m V k Q 2 9 s d W 1 u c z E u e 1 R v Z W x p Y 2 h 0 a W 5 n L 2 9 w b W V y a 2 l u Z 2 V u L D U y f S Z x d W 9 0 O y w m c X V v d D t T Z W N 0 a W 9 u M S 9 L R E 0 v Q X V 0 b 1 J l b W 9 2 Z W R D b 2 x 1 b W 5 z M S 5 7 S W 5 6 Z W 5 k a W 5 n L U l E L D U z f S Z x d W 9 0 O y w m c X V v d D t T Z W N 0 a W 9 u M S 9 L R E 0 v Q X V 0 b 1 J l b W 9 2 Z W R D b 2 x 1 b W 5 z M S 5 7 S W 5 6 Z W 5 k Z G F 0 d W 0 s N T R 9 J n F 1 b 3 Q 7 L C Z x d W 9 0 O 1 N l Y 3 R p b 2 4 x L 0 t E T S 9 B d X R v U m V t b 3 Z l Z E N v b H V t b n M x L n t E Y X R l I F V w Z G F 0 Z W Q s N T V 9 J n F 1 b 3 Q 7 L C Z x d W 9 0 O 1 N l Y 3 R p b 2 4 x L 0 t E T S 9 B d X R v U m V t b 3 Z l Z E N v b H V t b n M x L n t O Y W F t I H Z h b i B o Z X Q g a G 9 v Z m R r b 3 J w c y w 1 N n 0 m c X V v d D s s J n F 1 b 3 Q 7 U 2 V j d G l v b j E v S 0 R N L 0 F 1 d G 9 S Z W 1 v d m V k Q 2 9 s d W 1 u c z E u e 1 p h b C B v c C B 0 c m V k Z W 4 g Y W x z I C h o b 2 9 m Z G t v c n B z K S w 1 N 3 0 m c X V v d D s s J n F 1 b 3 Q 7 U 2 V j d G l v b j E v S 0 R N L 0 F 1 d G 9 S Z W 1 v d m V k Q 2 9 s d W 1 u c z E u e 1 Z v c m 0 g d m F u I H R 3 Z W U g b X V 6 a W V r d 2 V y a 2 V u I C h o b 2 9 m Z G t v c n B z K S w 1 O H 0 m c X V v d D s s J n F 1 b 3 Q 7 U 2 V j d G l v b j E v S 0 R N L 0 F 1 d G 9 S Z W 1 v d m V k Q 2 9 s d W 1 u c z E u e 1 p h b C B 1 a X R r b 2 1 l b i B p b i B k Z T o g K G h v b 2 Z k a 2 9 y c H M p L D U 5 f S Z x d W 9 0 O y w m c X V v d D t T Z W N 0 a W 9 u M S 9 L R E 0 v Q X V 0 b 1 J l b W 9 2 Z W R D b 2 x 1 b W 5 z M S 5 7 T X V 6 a W V r d 2 V y a z E g K G h v b 2 Z k a 2 9 y c H M p L D Y w f S Z x d W 9 0 O y w m c X V v d D t T Z W N 0 a W 9 u M S 9 L R E 0 v Q X V 0 b 1 J l b W 9 2 Z W R D b 2 x 1 b W 5 z M S 5 7 T X V 6 a W V r d 2 V y a z I g K G h v b 2 Z k a 2 9 y c H M p L D Y x f S Z x d W 9 0 O y w m c X V v d D t T Z W N 0 a W 9 u M S 9 L R E 0 v Q X V 0 b 1 J l b W 9 2 Z W R D b 2 x 1 b W 5 z M S 5 7 S 2 9 y c H M g Y m V z d G F h d C B 1 a X Q g L i 4 u I G R l Z W x u Z W 1 l c n M g K G h v b 2 Z k a 2 9 y c H M p L D Y y f S Z x d W 9 0 O y w m c X V v d D t T Z W N 0 a W 9 u M S 9 L R E 0 v Q X V 0 b 1 J l b W 9 2 Z W R D b 2 x 1 b W 5 z M S 5 7 T m F h b S B 2 Y W 4 g a G V 0 I D J l I G t v c n B z L D Y z f S Z x d W 9 0 O y w m c X V v d D t T Z W N 0 a W 9 u M S 9 L R E 0 v Q X V 0 b 1 J l b W 9 2 Z W R D b 2 x 1 b W 5 z M S 5 7 W m F s I G 9 w I H R y Z W R l b i B h b H M g K D J l I G t v c n B z K S w 2 N H 0 m c X V v d D s s J n F 1 b 3 Q 7 U 2 V j d G l v b j E v S 0 R N L 0 F 1 d G 9 S Z W 1 v d m V k Q 2 9 s d W 1 u c z E u e 1 Z v c m 0 g d m F u I H R 3 Z W U g b X V 6 a W V r d 2 V y a 2 V u I C g y Z S B r b 3 J w c y k s N j V 9 J n F 1 b 3 Q 7 L C Z x d W 9 0 O 1 N l Y 3 R p b 2 4 x L 0 t E T S 9 B d X R v U m V t b 3 Z l Z E N v b H V t b n M x L n t a Y W w g d W l 0 a 2 9 t Z W 4 g a W 4 g Z G U 6 I C g y Z S B r b 3 J w c y k s N j Z 9 J n F 1 b 3 Q 7 L C Z x d W 9 0 O 1 N l Y 3 R p b 2 4 x L 0 t E T S 9 B d X R v U m V t b 3 Z l Z E N v b H V t b n M x L n t N d X p p Z W t 3 Z X J r M S A o M m U g a 2 9 y c H M p L D Y 3 f S Z x d W 9 0 O y w m c X V v d D t T Z W N 0 a W 9 u M S 9 L R E 0 v Q X V 0 b 1 J l b W 9 2 Z W R D b 2 x 1 b W 5 z M S 5 7 T X V 6 a W V r d 2 V y a z I g K D J l I G t v c n B z K S w 2 O H 0 m c X V v d D s s J n F 1 b 3 Q 7 U 2 V j d G l v b j E v S 0 R N L 0 F 1 d G 9 S Z W 1 v d m V k Q 2 9 s d W 1 u c z E u e 0 t v c n B z I G J l c 3 R h Y X Q g d W l 0 I C 4 u L i B k Z W V s b m V t Z X J z I C g y Z S B r b 3 J w c y k s N j l 9 J n F 1 b 3 Q 7 L C Z x d W 9 0 O 1 N l Y 3 R p b 2 4 x L 0 t E T S 9 B d X R v U m V t b 3 Z l Z E N v b H V t b n M x L n t N Z W N o Y W 5 p c 2 N o Z S B t d X p p Z W s s N z B 9 J n F 1 b 3 Q 7 L C Z x d W 9 0 O 1 N l Y 3 R p b 2 4 x L 0 t E T S 9 B d X R v U m V t b 3 Z l Z E N v b H V t b n M x L n t P b m R l c m R l b G V u L D c x f S Z x d W 9 0 O y w m c X V v d D t T Z W N 0 a W 9 u M S 9 L R E 0 v Q X V 0 b 1 J l b W 9 2 Z W R D b 2 x 1 b W 5 z M S 5 7 U 2 V j d G l l c y w 3 M n 0 m c X V v d D s s J n F 1 b 3 Q 7 U 2 V j d G l v b j E v S 0 R N L 0 F 1 d G 9 S Z W 1 v d m V k Q 2 9 s d W 1 u c z E u e 0 x l Z W Z 0 a W p k c 2 N h d G V n b 3 J p Z S w 3 M 3 0 m c X V v d D s s J n F 1 b 3 Q 7 U 2 V j d G l v b j E v S 0 R N L 0 F 1 d G 9 S Z W 1 v d m V k Q 2 9 s d W 1 u c z E u e 0 F h b n R h b C B v c G d l Z 2 V 2 Z W 4 g b W F q b 3 J l d H R l c y w 3 N H 0 m c X V v d D t d L C Z x d W 9 0 O 1 J l b G F 0 a W 9 u c 2 h p c E l u Z m 8 m c X V v d D s 6 W 1 1 9 I i A v P j w v U 3 R h Y m x l R W 5 0 c m l l c z 4 8 L 0 l 0 Z W 0 + P E l 0 Z W 0 + P E l 0 Z W 1 M b 2 N h d G l v b j 4 8 S X R l b V R 5 c G U + R m 9 y b X V s Y T w v S X R l b V R 5 c G U + P E l 0 Z W 1 Q Y X R o P l N l Y 3 R p b 2 4 x L 0 t E T D w v S X R l b V B h d G g + P C 9 J d G V t T G 9 j Y X R p b 2 4 + P F N 0 Y W J s Z U V u d H J p Z X M + P E V u d H J 5 I F R 5 c G U 9 I k 5 h d m l n Y X R p b 2 5 T d G V w T m F t Z S I g V m F s d W U 9 I n N O Y X Z p Z 2 F 0 a W U 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M 4 N j U 3 M T l h Y y 0 5 Y z h m L T Q 5 Z m Y t O G I 5 O S 0 5 N j M y Y W Y 3 Y z I x Z m Q i I C 8 + P E V u d H J 5 I F R 5 c G U 9 I k 5 h b W V V c G R h d G V k Q W Z 0 Z X J G a W x s I i B W Y W x 1 Z T 0 i b D A i I C 8 + P E V u d H J 5 I F R 5 c G U 9 I k J 1 Z m Z l c k 5 l e H R S Z W Z y Z X N o I i B W Y W x 1 Z T 0 i b D E i I C 8 + P E V u d H J 5 I F R 5 c G U 9 I k Z p b G x P Y m p l Y 3 R U e X B l I i B W Y W x 1 Z T 0 i c 1 R h Y m x l I i A v P j x F b n R y e S B U e X B l P S J S Z X N 1 b H R U e X B l I i B W Y W x 1 Z T 0 i c 1 R h Y m x l I i A v P j x F b n R y e S B U e X B l P S J M b 2 F k Z W R U b 0 F u Y W x 5 c 2 l z U 2 V y d m l j Z X M i I F Z h b H V l P S J s M C I g L z 4 8 R W 5 0 c n k g V H l w Z T 0 i R m l s b F R h c m d l d C I g V m F s d W U 9 I n N L R E w i I C 8 + P E V u d H J 5 I F R 5 c G U 9 I l J l Y 2 9 2 Z X J 5 V G F y Z 2 V 0 U 2 h l Z X Q i I F Z h b H V l P S J z S 0 R M I i A v P j x F b n R y e S B U e X B l P S J S Z W N v d m V y e V R h c m d l d E N v b H V t b i I g V m F s d W U 9 I m w x I i A v P j x F b n R y e S B U e X B l P S J S Z W N v d m V y e V R h c m d l d F J v d y I g V m F s d W U 9 I m w x M C I g L z 4 8 R W 5 0 c n k g V H l w Z T 0 i T G 9 h Z F R v U m V w b 3 J 0 R G l z Y W J s Z W Q i I F Z h b H V l P S J s M C I g L z 4 8 R W 5 0 c n k g V H l w Z T 0 i R m l s b E x h c 3 R V c G R h d G V k I i B W Y W x 1 Z T 0 i Z D I w M j Q t M T I t M j F U M T I 6 N D I 6 N D A u M T U 0 N T c w M F o i I C 8 + P E V u d H J 5 I F R 5 c G U 9 I k Z p b G x F c n J v c k N v d W 5 0 I i B W Y W x 1 Z T 0 i b D A i I C 8 + P E V u d H J 5 I F R 5 c G U 9 I k Z p b G x D b 2 x 1 b W 5 U e X B l c y I g V m F s d W U 9 I n N C Z 1 l H Q m d Z R 0 J n W U R B d 0 1 E Q X d N R E F 3 W U d C Z 0 1 E Q X d N R E F 3 W U d B d 0 1 E Q X d N R E F 3 T U R C Z 1 l E Q m d N R 0 F 3 W U R C Z 0 1 E Q X d N R 0 J n W U R C d 2 N H Q m d Z R 0 J n W U R C Z 1 l H Q m d Z R 0 F 3 W U d C Z 1 l E I i A v P j x F b n R y e S B U e X B l P S J G a W x s R X J y b 3 J D b 2 R l I i B W Y W x 1 Z T 0 i c 1 V u a 2 5 v d 2 4 i I C 8 + P E V u d H J 5 I F R 5 c G U 9 I k Z p b G x D b 2 x 1 b W 5 O Y W 1 l c y I g V m F s d W U 9 I n N b J n F 1 b 3 Q 7 S 3 J p b m d k Y W c m c X V v d D s s J n F 1 b 3 Q 7 V m V y L m 5 y J n F 1 b 3 Q 7 L C Z x d W 9 0 O 0 5 h Y W 0 g d m V y Z W 5 p Z 2 l u Z y Z x d W 9 0 O y w m c X V v d D t E Z W x l Z 2 F 0 a W U m c X V v d D s s J n F 1 b 3 Q 7 T X V 6 a W V r a 2 9 y c H M g Y m l q I G 1 h c n M g Z W 4 g Z G V m a W x c d T A w R T k m c X V v d D s s J n F 1 b 3 Q 7 R G V l b G 4 u I G p l d W d k a 2 9 u a W 5 n c 2 N o a W V 0 Z W 4 m c X V v d D s s J n F 1 b 3 Q 7 T W F q L i B T Z W 5 p b 3 J l b i B q d X J l c m V u I G J p a i B t Y X J z J n F 1 b 3 Q 7 L C Z x d W 9 0 O 0 1 h a i 4 g S m V 1 Z 2 Q g a n V y Z X J l b i B i a W o g b W F y c y Z x d W 9 0 O y w m c X V v d D t L b 3 J w c y B z Z W 5 p b 3 J l b i Z x d W 9 0 O y w m c X V v d D t K d W 5 p b 3 J l b i B r b 3 J w c y A x J n F 1 b 3 Q 7 L C Z x d W 9 0 O 0 p 1 b m l v c m V u I G t v c n B z I D I m c X V v d D s s J n F 1 b 3 Q 7 Q X N w a X J h b n R l b i B r b 3 J w c y A x J n F 1 b 3 Q 7 L C Z x d W 9 0 O 0 F z c G l y Y W 5 0 Z W 4 g a 2 9 y c H M g M i Z x d W 9 0 O y w m c X V v d D t B Y 3 J v Y m F 0 a X N j a C B z Z W 5 p b 3 J l b i Z x d W 9 0 O y w m c X V v d D t B Y 3 J v Y m F 0 a X N j a C B q d W 5 p b 3 J l b i Z x d W 9 0 O y w m c X V v d D t B Y 3 J v Y m F 0 a X N j a C B h c 3 B p c m F u d G V u J n F 1 b 3 Q 7 L C Z x d W 9 0 O 1 N o b 3 c g c 2 V u a W 9 y Z W 4 m c X V v d D s s J n F 1 b 3 Q 7 U 2 h v d y B q d W 5 p b 3 J l b i Z x d W 9 0 O y w m c X V v d D t T a G 9 3 I G F z c G l y Y W 5 0 Z W 4 m c X V v d D s s J n F 1 b 3 Q 7 U 2 V u a W 9 y Z W 4 g a W 5 k a X Y u J n F 1 b 3 Q 7 L C Z x d W 9 0 O 0 p 1 b m l v c m V u I G l u Z G l 2 L i Z x d W 9 0 O y w m c X V v d D t B c 3 B p c m F u d G V u I G l u Z G l 2 L i Z x d W 9 0 O y w m c X V v d D t T Z W 4 u I G l u Z C B v c G d l Z 2 V 2 Z W 4 g b m F t Z W 4 m c X V v d D s s J n F 1 b 3 Q 7 S n V u L i B p b m Q g b 3 B n Z W d l d m V u I G 5 h b W V u J n F 1 b 3 Q 7 L C Z x d W 9 0 O 0 F z c C 4 g a W 5 k I G 9 w Z 2 V n Z X Z l b i B u Y W 1 l b i Z x d W 9 0 O y w m c X V v d D t I b 2 9 m Z G t v c n B z J n F 1 b 3 Q 7 L C Z x d W 9 0 O z J l I G t v c n B z J n F 1 b 3 Q 7 L C Z x d W 9 0 O 0 d y b 2 V w Z W 4 s I H R l Y W 1 z L C B l b n N l b W J s Z X M g Z W 4 g Z H V v X H U w M D I 3 c y Z x d W 9 0 O y w m c X V v d D t T Z W 5 p b 3 J l b i Z x d W 9 0 O y w m c X V v d D t K b 2 5 n I H Z v b H d h c 3 N l b m U m c X V v d D s s J n F 1 b 3 Q 7 S n V u a W 9 y Z W 4 m c X V v d D s s J n F 1 b 3 Q 7 Q X N w a X J h b n R l b i Z x d W 9 0 O y w m c X V v d D t P c G d l Z 2 V 2 Z W 4 g c 2 V u a W 9 y Z W 4 m c X V v d D s s J n F 1 b 3 Q 7 T 3 B n Z W d l d m V u I G p v b m c g d m 9 s d 2 F z c 2 V u Z S Z x d W 9 0 O y w m c X V v d D t P c G d l Z 2 V 2 Z W 4 g a n V u a W 9 y Z W 4 m c X V v d D s s J n F 1 b 3 Q 7 T 3 B n Z W d l d m V u I G F z c G l y Y W 5 0 Z W 4 m c X V v d D s s J n F 1 b 3 Q 7 T W F y a 2 V 0 Z W 5 0 c 3 R l c n M m c X V v d D s s J n F 1 b 3 Q 7 T H V j a H R n Z X d l Z X I m c X V v d D s s J n F 1 b 3 Q 7 Q W F u d G F s I G x 1 Y 2 h 0 Z 2 V 3 Z W V y c 2 N o d X R 0 Z X J z J n F 1 b 3 Q 7 L C Z x d W 9 0 O 0 x 1 Y 2 h 0 c G l z d G 9 v b C Z x d W 9 0 O y w m c X V v d D t B Y W 5 0 Y W w g b H V j a H R w a X N 0 b 2 9 s c 2 N o d X R 0 Z X J z J n F 1 b 3 Q 7 L C Z x d W 9 0 O 0 h h b m R i b 2 9 n J n F 1 b 3 Q 7 L C Z x d W 9 0 O 0 F h b n R h b C B o Y W 5 k Y m 9 v Z 3 N j a H V 0 d G V y c y Z x d W 9 0 O y w m c X V v d D t L c n V p c 2 J v b 2 c m c X V v d D s s J n F 1 b 3 Q 7 Q W F u d G F s I G t y d W l z Y m 9 v Z 3 N j a H V 0 d G V y c y Z x d W 9 0 O y w m c X V v d D t M d W N o d G d l d 2 V l c i B q Z X V n Z C B u a W V 0 I G 9 1 Z G V y I G R h b i A x N y B q Y W F y L i Z x d W 9 0 O y w m c X V v d D t B Y W 5 0 Y W w g a 2 9 y c H N l b i Z x d W 9 0 O y w m c X V v d D t P c G d l Z 2 V 2 Z W 4 g a m V 1 Z 2 R r b 3 J w c 2 V u I E x H J n F 1 b 3 Q 7 L C Z x d W 9 0 O 1 R v d G F h b C B h Y W 5 0 Y W w g Z G V l b G 5 l b W V y c y Z x d W 9 0 O y w m c X V v d D t X Y W F y d m F u I G F h b n R h b C B q Z X V n Z C A o d C 9 t I D E 1 I G p h Y X I p J n F 1 b 3 Q 7 L C Z x d W 9 0 O 0 t h b m 9 u I G V 0 Y y 4 m c X V v d D s s J n F 1 b 3 Q 7 U G F h c m R l b i B l b i 9 v Z i B r b 2 V 0 c 2 V u J n F 1 b 3 Q 7 L C Z x d W 9 0 O 1 R v Z W x p Y 2 h 0 a W 5 n L 2 9 w b W V y a 2 l u Z 2 V u J n F 1 b 3 Q 7 L C Z x d W 9 0 O 0 l u e m V u Z G l u Z y 1 J R C Z x d W 9 0 O y w m c X V v d D t J b n p l b m R k Y X R 1 b S Z x d W 9 0 O y w m c X V v d D t E Y X R l I F V w Z G F 0 Z W Q m c X V v d D s s J n F 1 b 3 Q 7 T m F h b S B 2 Y W 4 g a G V 0 I G h v b 2 Z k a 2 9 y c H M m c X V v d D s s J n F 1 b 3 Q 7 W m F s I G 9 w I H R y Z W R l b i B h b H M g K G h v b 2 Z k a 2 9 y c H M p J n F 1 b 3 Q 7 L C Z x d W 9 0 O 1 Z v c m 0 g d m F u I H R 3 Z W U g b X V 6 a W V r d 2 V y a 2 V u I C h o b 2 9 m Z G t v c n B z K S Z x d W 9 0 O y w m c X V v d D t a Y W w g d W l 0 a 2 9 t Z W 4 g a W 4 g Z G U 6 I C h o b 2 9 m Z G t v c n B z K S Z x d W 9 0 O y w m c X V v d D t N d X p p Z W t 3 Z X J r M S A o a G 9 v Z m R r b 3 J w c y k m c X V v d D s s J n F 1 b 3 Q 7 T X V 6 a W V r d 2 V y a z I g K G h v b 2 Z k a 2 9 y c H M p J n F 1 b 3 Q 7 L C Z x d W 9 0 O 0 t v c n B z I G J l c 3 R h Y X Q g d W l 0 I C 4 u L i B k Z W V s b m V t Z X J z I C h o b 2 9 m Z G t v c n B z K S Z x d W 9 0 O y w m c X V v d D t O Y W F t I H Z h b i B o Z X Q g M m U g a 2 9 y c H M m c X V v d D s s J n F 1 b 3 Q 7 W m F s I G 9 w I H R y Z W R l b i B h b H M g K D J l I G t v c n B z K S Z x d W 9 0 O y w m c X V v d D t W b 3 J t I H Z h b i B 0 d 2 V l I G 1 1 e m l l a 3 d l c m t l b i A o M m U g a 2 9 y c H M p J n F 1 b 3 Q 7 L C Z x d W 9 0 O 1 p h b C B 1 a X R r b 2 1 l b i B p b i B k Z T o g K D J l I G t v c n B z K S Z x d W 9 0 O y w m c X V v d D t N d X p p Z W t 3 Z X J r M S A o M m U g a 2 9 y c H M p J n F 1 b 3 Q 7 L C Z x d W 9 0 O 0 1 1 e m l l a 3 d l c m s y I C g y Z S B r b 3 J w c y k m c X V v d D s s J n F 1 b 3 Q 7 S 2 9 y c H M g Y m V z d G F h d C B 1 a X Q g L i 4 u I G R l Z W x u Z W 1 l c n M g K D J l I G t v c n B z K S Z x d W 9 0 O y w m c X V v d D t N Z W N o Y W 5 p c 2 N o Z S B t d X p p Z W s m c X V v d D s s J n F 1 b 3 Q 7 T 2 5 k Z X J k Z W x l b i Z x d W 9 0 O y w m c X V v d D t T Z W N 0 a W V z J n F 1 b 3 Q 7 L C Z x d W 9 0 O 0 x l Z W Z 0 a W p k c 2 N h d G V n b 3 J p Z S Z x d W 9 0 O y w m c X V v d D t B Y W 5 0 Y W w g b 3 B n Z W d l d m V u I G 1 h a m 9 y Z X R 0 Z X M m c X V v d D t d I i A v P j x F b n R y e S B U e X B l P S J G a W x s Q 2 9 1 b n Q i I F Z h b H V l P S J s O S I g L z 4 8 R W 5 0 c n k g V H l w Z T 0 i R m l s b F N 0 Y X R 1 c y I g V m F s d W U 9 I n N D b 2 1 w b G V 0 Z S I g L z 4 8 R W 5 0 c n k g V H l w Z T 0 i Q W R k Z W R U b 0 R h d G F N b 2 R l b C I g V m F s d W U 9 I m w w I i A v P j x F b n R y e S B U e X B l P S J S Z W x h d G l v b n N o a X B J b m Z v Q 2 9 u d G F p b m V y I i B W Y W x 1 Z T 0 i c 3 s m c X V v d D t j b 2 x 1 b W 5 D b 3 V u d C Z x d W 9 0 O z o 3 N S w m c X V v d D t r Z X l D b 2 x 1 b W 5 O Y W 1 l c y Z x d W 9 0 O z p b X S w m c X V v d D t x d W V y e V J l b G F 0 a W 9 u c 2 h p c H M m c X V v d D s 6 W 1 0 s J n F 1 b 3 Q 7 Y 2 9 s d W 1 u S W R l b n R p d G l l c y Z x d W 9 0 O z p b J n F 1 b 3 Q 7 U 2 V j d G l v b j E v S 0 R M L 0 F 1 d G 9 S Z W 1 v d m V k Q 2 9 s d W 1 u c z E u e 0 t y a W 5 n Z G F n L D B 9 J n F 1 b 3 Q 7 L C Z x d W 9 0 O 1 N l Y 3 R p b 2 4 x L 0 t E T C 9 B d X R v U m V t b 3 Z l Z E N v b H V t b n M x L n t W Z X I u b n I s M X 0 m c X V v d D s s J n F 1 b 3 Q 7 U 2 V j d G l v b j E v S 0 R M L 0 F 1 d G 9 S Z W 1 v d m V k Q 2 9 s d W 1 u c z E u e 0 5 h Y W 0 g d m V y Z W 5 p Z 2 l u Z y w y f S Z x d W 9 0 O y w m c X V v d D t T Z W N 0 a W 9 u M S 9 L R E w v Q X V 0 b 1 J l b W 9 2 Z W R D b 2 x 1 b W 5 z M S 5 7 R G V s Z W d h d G l l L D N 9 J n F 1 b 3 Q 7 L C Z x d W 9 0 O 1 N l Y 3 R p b 2 4 x L 0 t E T C 9 B d X R v U m V t b 3 Z l Z E N v b H V t b n M x L n t N d X p p Z W t r b 3 J w c y B i a W o g b W F y c y B l b i B k Z W Z p b F x 1 M D B F O S w 0 f S Z x d W 9 0 O y w m c X V v d D t T Z W N 0 a W 9 u M S 9 L R E w v Q X V 0 b 1 J l b W 9 2 Z W R D b 2 x 1 b W 5 z M S 5 7 R G V l b G 4 u I G p l d W d k a 2 9 u a W 5 n c 2 N o a W V 0 Z W 4 s N X 0 m c X V v d D s s J n F 1 b 3 Q 7 U 2 V j d G l v b j E v S 0 R M L 0 F 1 d G 9 S Z W 1 v d m V k Q 2 9 s d W 1 u c z E u e 0 1 h a i 4 g U 2 V u a W 9 y Z W 4 g a n V y Z X J l b i B i a W o g b W F y c y w 2 f S Z x d W 9 0 O y w m c X V v d D t T Z W N 0 a W 9 u M S 9 L R E w v Q X V 0 b 1 J l b W 9 2 Z W R D b 2 x 1 b W 5 z M S 5 7 T W F q L i B K Z X V n Z C B q d X J l c m V u I G J p a i B t Y X J z L D d 9 J n F 1 b 3 Q 7 L C Z x d W 9 0 O 1 N l Y 3 R p b 2 4 x L 0 t E T C 9 B d X R v U m V t b 3 Z l Z E N v b H V t b n M x L n t L b 3 J w c y B z Z W 5 p b 3 J l b i w 4 f S Z x d W 9 0 O y w m c X V v d D t T Z W N 0 a W 9 u M S 9 L R E w v Q X V 0 b 1 J l b W 9 2 Z W R D b 2 x 1 b W 5 z M S 5 7 S n V u a W 9 y Z W 4 g a 2 9 y c H M g M S w 5 f S Z x d W 9 0 O y w m c X V v d D t T Z W N 0 a W 9 u M S 9 L R E w v Q X V 0 b 1 J l b W 9 2 Z W R D b 2 x 1 b W 5 z M S 5 7 S n V u a W 9 y Z W 4 g a 2 9 y c H M g M i w x M H 0 m c X V v d D s s J n F 1 b 3 Q 7 U 2 V j d G l v b j E v S 0 R M L 0 F 1 d G 9 S Z W 1 v d m V k Q 2 9 s d W 1 u c z E u e 0 F z c G l y Y W 5 0 Z W 4 g a 2 9 y c H M g M S w x M X 0 m c X V v d D s s J n F 1 b 3 Q 7 U 2 V j d G l v b j E v S 0 R M L 0 F 1 d G 9 S Z W 1 v d m V k Q 2 9 s d W 1 u c z E u e 0 F z c G l y Y W 5 0 Z W 4 g a 2 9 y c H M g M i w x M n 0 m c X V v d D s s J n F 1 b 3 Q 7 U 2 V j d G l v b j E v S 0 R M L 0 F 1 d G 9 S Z W 1 v d m V k Q 2 9 s d W 1 u c z E u e 0 F j c m 9 i Y X R p c 2 N o I H N l b m l v c m V u L D E z f S Z x d W 9 0 O y w m c X V v d D t T Z W N 0 a W 9 u M S 9 L R E w v Q X V 0 b 1 J l b W 9 2 Z W R D b 2 x 1 b W 5 z M S 5 7 Q W N y b 2 J h d G l z Y 2 g g a n V u a W 9 y Z W 4 s M T R 9 J n F 1 b 3 Q 7 L C Z x d W 9 0 O 1 N l Y 3 R p b 2 4 x L 0 t E T C 9 B d X R v U m V t b 3 Z l Z E N v b H V t b n M x L n t B Y 3 J v Y m F 0 a X N j a C B h c 3 B p c m F u d G V u L D E 1 f S Z x d W 9 0 O y w m c X V v d D t T Z W N 0 a W 9 u M S 9 L R E w v Q X V 0 b 1 J l b W 9 2 Z W R D b 2 x 1 b W 5 z M S 5 7 U 2 h v d y B z Z W 5 p b 3 J l b i w x N n 0 m c X V v d D s s J n F 1 b 3 Q 7 U 2 V j d G l v b j E v S 0 R M L 0 F 1 d G 9 S Z W 1 v d m V k Q 2 9 s d W 1 u c z E u e 1 N o b 3 c g a n V u a W 9 y Z W 4 s M T d 9 J n F 1 b 3 Q 7 L C Z x d W 9 0 O 1 N l Y 3 R p b 2 4 x L 0 t E T C 9 B d X R v U m V t b 3 Z l Z E N v b H V t b n M x L n t T a G 9 3 I G F z c G l y Y W 5 0 Z W 4 s M T h 9 J n F 1 b 3 Q 7 L C Z x d W 9 0 O 1 N l Y 3 R p b 2 4 x L 0 t E T C 9 B d X R v U m V t b 3 Z l Z E N v b H V t b n M x L n t T Z W 5 p b 3 J l b i B p b m R p d i 4 s M T l 9 J n F 1 b 3 Q 7 L C Z x d W 9 0 O 1 N l Y 3 R p b 2 4 x L 0 t E T C 9 B d X R v U m V t b 3 Z l Z E N v b H V t b n M x L n t K d W 5 p b 3 J l b i B p b m R p d i 4 s M j B 9 J n F 1 b 3 Q 7 L C Z x d W 9 0 O 1 N l Y 3 R p b 2 4 x L 0 t E T C 9 B d X R v U m V t b 3 Z l Z E N v b H V t b n M x L n t B c 3 B p c m F u d G V u I G l u Z G l 2 L i w y M X 0 m c X V v d D s s J n F 1 b 3 Q 7 U 2 V j d G l v b j E v S 0 R M L 0 F 1 d G 9 S Z W 1 v d m V k Q 2 9 s d W 1 u c z E u e 1 N l b i 4 g a W 5 k I G 9 w Z 2 V n Z X Z l b i B u Y W 1 l b i w y M n 0 m c X V v d D s s J n F 1 b 3 Q 7 U 2 V j d G l v b j E v S 0 R M L 0 F 1 d G 9 S Z W 1 v d m V k Q 2 9 s d W 1 u c z E u e 0 p 1 b i 4 g a W 5 k I G 9 w Z 2 V n Z X Z l b i B u Y W 1 l b i w y M 3 0 m c X V v d D s s J n F 1 b 3 Q 7 U 2 V j d G l v b j E v S 0 R M L 0 F 1 d G 9 S Z W 1 v d m V k Q 2 9 s d W 1 u c z E u e 0 F z c C 4 g a W 5 k I G 9 w Z 2 V n Z X Z l b i B u Y W 1 l b i w y N H 0 m c X V v d D s s J n F 1 b 3 Q 7 U 2 V j d G l v b j E v S 0 R M L 0 F 1 d G 9 S Z W 1 v d m V k Q 2 9 s d W 1 u c z E u e 0 h v b 2 Z k a 2 9 y c H M s M j V 9 J n F 1 b 3 Q 7 L C Z x d W 9 0 O 1 N l Y 3 R p b 2 4 x L 0 t E T C 9 B d X R v U m V t b 3 Z l Z E N v b H V t b n M x L n s y Z S B r b 3 J w c y w y N n 0 m c X V v d D s s J n F 1 b 3 Q 7 U 2 V j d G l v b j E v S 0 R M L 0 F 1 d G 9 S Z W 1 v d m V k Q 2 9 s d W 1 u c z E u e 0 d y b 2 V w Z W 4 s I H R l Y W 1 z L C B l b n N l b W J s Z X M g Z W 4 g Z H V v X H U w M D I 3 c y w y N 3 0 m c X V v d D s s J n F 1 b 3 Q 7 U 2 V j d G l v b j E v S 0 R M L 0 F 1 d G 9 S Z W 1 v d m V k Q 2 9 s d W 1 u c z E u e 1 N l b m l v c m V u L D I 4 f S Z x d W 9 0 O y w m c X V v d D t T Z W N 0 a W 9 u M S 9 L R E w v Q X V 0 b 1 J l b W 9 2 Z W R D b 2 x 1 b W 5 z M S 5 7 S m 9 u Z y B 2 b 2 x 3 Y X N z Z W 5 l L D I 5 f S Z x d W 9 0 O y w m c X V v d D t T Z W N 0 a W 9 u M S 9 L R E w v Q X V 0 b 1 J l b W 9 2 Z W R D b 2 x 1 b W 5 z M S 5 7 S n V u a W 9 y Z W 4 s M z B 9 J n F 1 b 3 Q 7 L C Z x d W 9 0 O 1 N l Y 3 R p b 2 4 x L 0 t E T C 9 B d X R v U m V t b 3 Z l Z E N v b H V t b n M x L n t B c 3 B p c m F u d G V u L D M x f S Z x d W 9 0 O y w m c X V v d D t T Z W N 0 a W 9 u M S 9 L R E w v Q X V 0 b 1 J l b W 9 2 Z W R D b 2 x 1 b W 5 z M S 5 7 T 3 B n Z W d l d m V u I H N l b m l v c m V u L D M y f S Z x d W 9 0 O y w m c X V v d D t T Z W N 0 a W 9 u M S 9 L R E w v Q X V 0 b 1 J l b W 9 2 Z W R D b 2 x 1 b W 5 z M S 5 7 T 3 B n Z W d l d m V u I G p v b m c g d m 9 s d 2 F z c 2 V u Z S w z M 3 0 m c X V v d D s s J n F 1 b 3 Q 7 U 2 V j d G l v b j E v S 0 R M L 0 F 1 d G 9 S Z W 1 v d m V k Q 2 9 s d W 1 u c z E u e 0 9 w Z 2 V n Z X Z l b i B q d W 5 p b 3 J l b i w z N H 0 m c X V v d D s s J n F 1 b 3 Q 7 U 2 V j d G l v b j E v S 0 R M L 0 F 1 d G 9 S Z W 1 v d m V k Q 2 9 s d W 1 u c z E u e 0 9 w Z 2 V n Z X Z l b i B h c 3 B p c m F u d G V u L D M 1 f S Z x d W 9 0 O y w m c X V v d D t T Z W N 0 a W 9 u M S 9 L R E w v Q X V 0 b 1 J l b W 9 2 Z W R D b 2 x 1 b W 5 z M S 5 7 T W F y a 2 V 0 Z W 5 0 c 3 R l c n M s M z Z 9 J n F 1 b 3 Q 7 L C Z x d W 9 0 O 1 N l Y 3 R p b 2 4 x L 0 t E T C 9 B d X R v U m V t b 3 Z l Z E N v b H V t b n M x L n t M d W N o d G d l d 2 V l c i w z N 3 0 m c X V v d D s s J n F 1 b 3 Q 7 U 2 V j d G l v b j E v S 0 R M L 0 F 1 d G 9 S Z W 1 v d m V k Q 2 9 s d W 1 u c z E u e 0 F h b n R h b C B s d W N o d G d l d 2 V l c n N j a H V 0 d G V y c y w z O H 0 m c X V v d D s s J n F 1 b 3 Q 7 U 2 V j d G l v b j E v S 0 R M L 0 F 1 d G 9 S Z W 1 v d m V k Q 2 9 s d W 1 u c z E u e 0 x 1 Y 2 h 0 c G l z d G 9 v b C w z O X 0 m c X V v d D s s J n F 1 b 3 Q 7 U 2 V j d G l v b j E v S 0 R M L 0 F 1 d G 9 S Z W 1 v d m V k Q 2 9 s d W 1 u c z E u e 0 F h b n R h b C B s d W N o d H B p c 3 R v b 2 x z Y 2 h 1 d H R l c n M s N D B 9 J n F 1 b 3 Q 7 L C Z x d W 9 0 O 1 N l Y 3 R p b 2 4 x L 0 t E T C 9 B d X R v U m V t b 3 Z l Z E N v b H V t b n M x L n t I Y W 5 k Y m 9 v Z y w 0 M X 0 m c X V v d D s s J n F 1 b 3 Q 7 U 2 V j d G l v b j E v S 0 R M L 0 F 1 d G 9 S Z W 1 v d m V k Q 2 9 s d W 1 u c z E u e 0 F h b n R h b C B o Y W 5 k Y m 9 v Z 3 N j a H V 0 d G V y c y w 0 M n 0 m c X V v d D s s J n F 1 b 3 Q 7 U 2 V j d G l v b j E v S 0 R M L 0 F 1 d G 9 S Z W 1 v d m V k Q 2 9 s d W 1 u c z E u e 0 t y d W l z Y m 9 v Z y w 0 M 3 0 m c X V v d D s s J n F 1 b 3 Q 7 U 2 V j d G l v b j E v S 0 R M L 0 F 1 d G 9 S Z W 1 v d m V k Q 2 9 s d W 1 u c z E u e 0 F h b n R h b C B r c n V p c 2 J v b 2 d z Y 2 h 1 d H R l c n M s N D R 9 J n F 1 b 3 Q 7 L C Z x d W 9 0 O 1 N l Y 3 R p b 2 4 x L 0 t E T C 9 B d X R v U m V t b 3 Z l Z E N v b H V t b n M x L n t M d W N o d G d l d 2 V l c i B q Z X V n Z C B u a W V 0 I G 9 1 Z G V y I G R h b i A x N y B q Y W F y L i w 0 N X 0 m c X V v d D s s J n F 1 b 3 Q 7 U 2 V j d G l v b j E v S 0 R M L 0 F 1 d G 9 S Z W 1 v d m V k Q 2 9 s d W 1 u c z E u e 0 F h b n R h b C B r b 3 J w c 2 V u L D Q 2 f S Z x d W 9 0 O y w m c X V v d D t T Z W N 0 a W 9 u M S 9 L R E w v Q X V 0 b 1 J l b W 9 2 Z W R D b 2 x 1 b W 5 z M S 5 7 T 3 B n Z W d l d m V u I G p l d W d k a 2 9 y c H N l b i B M R y w 0 N 3 0 m c X V v d D s s J n F 1 b 3 Q 7 U 2 V j d G l v b j E v S 0 R M L 0 F 1 d G 9 S Z W 1 v d m V k Q 2 9 s d W 1 u c z E u e 1 R v d G F h b C B h Y W 5 0 Y W w g Z G V l b G 5 l b W V y c y w 0 O H 0 m c X V v d D s s J n F 1 b 3 Q 7 U 2 V j d G l v b j E v S 0 R M L 0 F 1 d G 9 S Z W 1 v d m V k Q 2 9 s d W 1 u c z E u e 1 d h Y X J 2 Y W 4 g Y W F u d G F s I G p l d W d k I C h 0 L 2 0 g M T U g a m F h c i k s N D l 9 J n F 1 b 3 Q 7 L C Z x d W 9 0 O 1 N l Y 3 R p b 2 4 x L 0 t E T C 9 B d X R v U m V t b 3 Z l Z E N v b H V t b n M x L n t L Y W 5 v b i B l d G M u L D U w f S Z x d W 9 0 O y w m c X V v d D t T Z W N 0 a W 9 u M S 9 L R E w v Q X V 0 b 1 J l b W 9 2 Z W R D b 2 x 1 b W 5 z M S 5 7 U G F h c m R l b i B l b i 9 v Z i B r b 2 V 0 c 2 V u L D U x f S Z x d W 9 0 O y w m c X V v d D t T Z W N 0 a W 9 u M S 9 L R E w v Q X V 0 b 1 J l b W 9 2 Z W R D b 2 x 1 b W 5 z M S 5 7 V G 9 l b G l j a H R p b m c v b 3 B t Z X J r a W 5 n Z W 4 s N T J 9 J n F 1 b 3 Q 7 L C Z x d W 9 0 O 1 N l Y 3 R p b 2 4 x L 0 t E T C 9 B d X R v U m V t b 3 Z l Z E N v b H V t b n M x L n t J b n p l b m R p b m c t S U Q s N T N 9 J n F 1 b 3 Q 7 L C Z x d W 9 0 O 1 N l Y 3 R p b 2 4 x L 0 t E T C 9 B d X R v U m V t b 3 Z l Z E N v b H V t b n M x L n t J b n p l b m R k Y X R 1 b S w 1 N H 0 m c X V v d D s s J n F 1 b 3 Q 7 U 2 V j d G l v b j E v S 0 R M L 0 F 1 d G 9 S Z W 1 v d m V k Q 2 9 s d W 1 u c z E u e 0 R h d G U g V X B k Y X R l Z C w 1 N X 0 m c X V v d D s s J n F 1 b 3 Q 7 U 2 V j d G l v b j E v S 0 R M L 0 F 1 d G 9 S Z W 1 v d m V k Q 2 9 s d W 1 u c z E u e 0 5 h Y W 0 g d m F u I G h l d C B o b 2 9 m Z G t v c n B z L D U 2 f S Z x d W 9 0 O y w m c X V v d D t T Z W N 0 a W 9 u M S 9 L R E w v Q X V 0 b 1 J l b W 9 2 Z W R D b 2 x 1 b W 5 z M S 5 7 W m F s I G 9 w I H R y Z W R l b i B h b H M g K G h v b 2 Z k a 2 9 y c H M p L D U 3 f S Z x d W 9 0 O y w m c X V v d D t T Z W N 0 a W 9 u M S 9 L R E w v Q X V 0 b 1 J l b W 9 2 Z W R D b 2 x 1 b W 5 z M S 5 7 V m 9 y b S B 2 Y W 4 g d H d l Z S B t d X p p Z W t 3 Z X J r Z W 4 g K G h v b 2 Z k a 2 9 y c H M p L D U 4 f S Z x d W 9 0 O y w m c X V v d D t T Z W N 0 a W 9 u M S 9 L R E w v Q X V 0 b 1 J l b W 9 2 Z W R D b 2 x 1 b W 5 z M S 5 7 W m F s I H V p d G t v b W V u I G l u I G R l O i A o a G 9 v Z m R r b 3 J w c y k s N T l 9 J n F 1 b 3 Q 7 L C Z x d W 9 0 O 1 N l Y 3 R p b 2 4 x L 0 t E T C 9 B d X R v U m V t b 3 Z l Z E N v b H V t b n M x L n t N d X p p Z W t 3 Z X J r M S A o a G 9 v Z m R r b 3 J w c y k s N j B 9 J n F 1 b 3 Q 7 L C Z x d W 9 0 O 1 N l Y 3 R p b 2 4 x L 0 t E T C 9 B d X R v U m V t b 3 Z l Z E N v b H V t b n M x L n t N d X p p Z W t 3 Z X J r M i A o a G 9 v Z m R r b 3 J w c y k s N j F 9 J n F 1 b 3 Q 7 L C Z x d W 9 0 O 1 N l Y 3 R p b 2 4 x L 0 t E T C 9 B d X R v U m V t b 3 Z l Z E N v b H V t b n M x L n t L b 3 J w c y B i Z X N 0 Y W F 0 I H V p d C A u L i 4 g Z G V l b G 5 l b W V y c y A o a G 9 v Z m R r b 3 J w c y k s N j J 9 J n F 1 b 3 Q 7 L C Z x d W 9 0 O 1 N l Y 3 R p b 2 4 x L 0 t E T C 9 B d X R v U m V t b 3 Z l Z E N v b H V t b n M x L n t O Y W F t I H Z h b i B o Z X Q g M m U g a 2 9 y c H M s N j N 9 J n F 1 b 3 Q 7 L C Z x d W 9 0 O 1 N l Y 3 R p b 2 4 x L 0 t E T C 9 B d X R v U m V t b 3 Z l Z E N v b H V t b n M x L n t a Y W w g b 3 A g d H J l Z G V u I G F s c y A o M m U g a 2 9 y c H M p L D Y 0 f S Z x d W 9 0 O y w m c X V v d D t T Z W N 0 a W 9 u M S 9 L R E w v Q X V 0 b 1 J l b W 9 2 Z W R D b 2 x 1 b W 5 z M S 5 7 V m 9 y b S B 2 Y W 4 g d H d l Z S B t d X p p Z W t 3 Z X J r Z W 4 g K D J l I G t v c n B z K S w 2 N X 0 m c X V v d D s s J n F 1 b 3 Q 7 U 2 V j d G l v b j E v S 0 R M L 0 F 1 d G 9 S Z W 1 v d m V k Q 2 9 s d W 1 u c z E u e 1 p h b C B 1 a X R r b 2 1 l b i B p b i B k Z T o g K D J l I G t v c n B z K S w 2 N n 0 m c X V v d D s s J n F 1 b 3 Q 7 U 2 V j d G l v b j E v S 0 R M L 0 F 1 d G 9 S Z W 1 v d m V k Q 2 9 s d W 1 u c z E u e 0 1 1 e m l l a 3 d l c m s x I C g y Z S B r b 3 J w c y k s N j d 9 J n F 1 b 3 Q 7 L C Z x d W 9 0 O 1 N l Y 3 R p b 2 4 x L 0 t E T C 9 B d X R v U m V t b 3 Z l Z E N v b H V t b n M x L n t N d X p p Z W t 3 Z X J r M i A o M m U g a 2 9 y c H M p L D Y 4 f S Z x d W 9 0 O y w m c X V v d D t T Z W N 0 a W 9 u M S 9 L R E w v Q X V 0 b 1 J l b W 9 2 Z W R D b 2 x 1 b W 5 z M S 5 7 S 2 9 y c H M g Y m V z d G F h d C B 1 a X Q g L i 4 u I G R l Z W x u Z W 1 l c n M g K D J l I G t v c n B z K S w 2 O X 0 m c X V v d D s s J n F 1 b 3 Q 7 U 2 V j d G l v b j E v S 0 R M L 0 F 1 d G 9 S Z W 1 v d m V k Q 2 9 s d W 1 u c z E u e 0 1 l Y 2 h h b m l z Y 2 h l I G 1 1 e m l l a y w 3 M H 0 m c X V v d D s s J n F 1 b 3 Q 7 U 2 V j d G l v b j E v S 0 R M L 0 F 1 d G 9 S Z W 1 v d m V k Q 2 9 s d W 1 u c z E u e 0 9 u Z G V y Z G V s Z W 4 s N z F 9 J n F 1 b 3 Q 7 L C Z x d W 9 0 O 1 N l Y 3 R p b 2 4 x L 0 t E T C 9 B d X R v U m V t b 3 Z l Z E N v b H V t b n M x L n t T Z W N 0 a W V z L D c y f S Z x d W 9 0 O y w m c X V v d D t T Z W N 0 a W 9 u M S 9 L R E w v Q X V 0 b 1 J l b W 9 2 Z W R D b 2 x 1 b W 5 z M S 5 7 T G V l Z n R p a m R z Y 2 F 0 Z W d v c m l l L D c z f S Z x d W 9 0 O y w m c X V v d D t T Z W N 0 a W 9 u M S 9 L R E w v Q X V 0 b 1 J l b W 9 2 Z W R D b 2 x 1 b W 5 z M S 5 7 Q W F u d G F s I G 9 w Z 2 V n Z X Z l b i B t Y W p v c m V 0 d G V z L D c 0 f S Z x d W 9 0 O 1 0 s J n F 1 b 3 Q 7 Q 2 9 s d W 1 u Q 2 9 1 b n Q m c X V v d D s 6 N z U s J n F 1 b 3 Q 7 S 2 V 5 Q 2 9 s d W 1 u T m F t Z X M m c X V v d D s 6 W 1 0 s J n F 1 b 3 Q 7 Q 2 9 s d W 1 u S W R l b n R p d G l l c y Z x d W 9 0 O z p b J n F 1 b 3 Q 7 U 2 V j d G l v b j E v S 0 R M L 0 F 1 d G 9 S Z W 1 v d m V k Q 2 9 s d W 1 u c z E u e 0 t y a W 5 n Z G F n L D B 9 J n F 1 b 3 Q 7 L C Z x d W 9 0 O 1 N l Y 3 R p b 2 4 x L 0 t E T C 9 B d X R v U m V t b 3 Z l Z E N v b H V t b n M x L n t W Z X I u b n I s M X 0 m c X V v d D s s J n F 1 b 3 Q 7 U 2 V j d G l v b j E v S 0 R M L 0 F 1 d G 9 S Z W 1 v d m V k Q 2 9 s d W 1 u c z E u e 0 5 h Y W 0 g d m V y Z W 5 p Z 2 l u Z y w y f S Z x d W 9 0 O y w m c X V v d D t T Z W N 0 a W 9 u M S 9 L R E w v Q X V 0 b 1 J l b W 9 2 Z W R D b 2 x 1 b W 5 z M S 5 7 R G V s Z W d h d G l l L D N 9 J n F 1 b 3 Q 7 L C Z x d W 9 0 O 1 N l Y 3 R p b 2 4 x L 0 t E T C 9 B d X R v U m V t b 3 Z l Z E N v b H V t b n M x L n t N d X p p Z W t r b 3 J w c y B i a W o g b W F y c y B l b i B k Z W Z p b F x 1 M D B F O S w 0 f S Z x d W 9 0 O y w m c X V v d D t T Z W N 0 a W 9 u M S 9 L R E w v Q X V 0 b 1 J l b W 9 2 Z W R D b 2 x 1 b W 5 z M S 5 7 R G V l b G 4 u I G p l d W d k a 2 9 u a W 5 n c 2 N o a W V 0 Z W 4 s N X 0 m c X V v d D s s J n F 1 b 3 Q 7 U 2 V j d G l v b j E v S 0 R M L 0 F 1 d G 9 S Z W 1 v d m V k Q 2 9 s d W 1 u c z E u e 0 1 h a i 4 g U 2 V u a W 9 y Z W 4 g a n V y Z X J l b i B i a W o g b W F y c y w 2 f S Z x d W 9 0 O y w m c X V v d D t T Z W N 0 a W 9 u M S 9 L R E w v Q X V 0 b 1 J l b W 9 2 Z W R D b 2 x 1 b W 5 z M S 5 7 T W F q L i B K Z X V n Z C B q d X J l c m V u I G J p a i B t Y X J z L D d 9 J n F 1 b 3 Q 7 L C Z x d W 9 0 O 1 N l Y 3 R p b 2 4 x L 0 t E T C 9 B d X R v U m V t b 3 Z l Z E N v b H V t b n M x L n t L b 3 J w c y B z Z W 5 p b 3 J l b i w 4 f S Z x d W 9 0 O y w m c X V v d D t T Z W N 0 a W 9 u M S 9 L R E w v Q X V 0 b 1 J l b W 9 2 Z W R D b 2 x 1 b W 5 z M S 5 7 S n V u a W 9 y Z W 4 g a 2 9 y c H M g M S w 5 f S Z x d W 9 0 O y w m c X V v d D t T Z W N 0 a W 9 u M S 9 L R E w v Q X V 0 b 1 J l b W 9 2 Z W R D b 2 x 1 b W 5 z M S 5 7 S n V u a W 9 y Z W 4 g a 2 9 y c H M g M i w x M H 0 m c X V v d D s s J n F 1 b 3 Q 7 U 2 V j d G l v b j E v S 0 R M L 0 F 1 d G 9 S Z W 1 v d m V k Q 2 9 s d W 1 u c z E u e 0 F z c G l y Y W 5 0 Z W 4 g a 2 9 y c H M g M S w x M X 0 m c X V v d D s s J n F 1 b 3 Q 7 U 2 V j d G l v b j E v S 0 R M L 0 F 1 d G 9 S Z W 1 v d m V k Q 2 9 s d W 1 u c z E u e 0 F z c G l y Y W 5 0 Z W 4 g a 2 9 y c H M g M i w x M n 0 m c X V v d D s s J n F 1 b 3 Q 7 U 2 V j d G l v b j E v S 0 R M L 0 F 1 d G 9 S Z W 1 v d m V k Q 2 9 s d W 1 u c z E u e 0 F j c m 9 i Y X R p c 2 N o I H N l b m l v c m V u L D E z f S Z x d W 9 0 O y w m c X V v d D t T Z W N 0 a W 9 u M S 9 L R E w v Q X V 0 b 1 J l b W 9 2 Z W R D b 2 x 1 b W 5 z M S 5 7 Q W N y b 2 J h d G l z Y 2 g g a n V u a W 9 y Z W 4 s M T R 9 J n F 1 b 3 Q 7 L C Z x d W 9 0 O 1 N l Y 3 R p b 2 4 x L 0 t E T C 9 B d X R v U m V t b 3 Z l Z E N v b H V t b n M x L n t B Y 3 J v Y m F 0 a X N j a C B h c 3 B p c m F u d G V u L D E 1 f S Z x d W 9 0 O y w m c X V v d D t T Z W N 0 a W 9 u M S 9 L R E w v Q X V 0 b 1 J l b W 9 2 Z W R D b 2 x 1 b W 5 z M S 5 7 U 2 h v d y B z Z W 5 p b 3 J l b i w x N n 0 m c X V v d D s s J n F 1 b 3 Q 7 U 2 V j d G l v b j E v S 0 R M L 0 F 1 d G 9 S Z W 1 v d m V k Q 2 9 s d W 1 u c z E u e 1 N o b 3 c g a n V u a W 9 y Z W 4 s M T d 9 J n F 1 b 3 Q 7 L C Z x d W 9 0 O 1 N l Y 3 R p b 2 4 x L 0 t E T C 9 B d X R v U m V t b 3 Z l Z E N v b H V t b n M x L n t T a G 9 3 I G F z c G l y Y W 5 0 Z W 4 s M T h 9 J n F 1 b 3 Q 7 L C Z x d W 9 0 O 1 N l Y 3 R p b 2 4 x L 0 t E T C 9 B d X R v U m V t b 3 Z l Z E N v b H V t b n M x L n t T Z W 5 p b 3 J l b i B p b m R p d i 4 s M T l 9 J n F 1 b 3 Q 7 L C Z x d W 9 0 O 1 N l Y 3 R p b 2 4 x L 0 t E T C 9 B d X R v U m V t b 3 Z l Z E N v b H V t b n M x L n t K d W 5 p b 3 J l b i B p b m R p d i 4 s M j B 9 J n F 1 b 3 Q 7 L C Z x d W 9 0 O 1 N l Y 3 R p b 2 4 x L 0 t E T C 9 B d X R v U m V t b 3 Z l Z E N v b H V t b n M x L n t B c 3 B p c m F u d G V u I G l u Z G l 2 L i w y M X 0 m c X V v d D s s J n F 1 b 3 Q 7 U 2 V j d G l v b j E v S 0 R M L 0 F 1 d G 9 S Z W 1 v d m V k Q 2 9 s d W 1 u c z E u e 1 N l b i 4 g a W 5 k I G 9 w Z 2 V n Z X Z l b i B u Y W 1 l b i w y M n 0 m c X V v d D s s J n F 1 b 3 Q 7 U 2 V j d G l v b j E v S 0 R M L 0 F 1 d G 9 S Z W 1 v d m V k Q 2 9 s d W 1 u c z E u e 0 p 1 b i 4 g a W 5 k I G 9 w Z 2 V n Z X Z l b i B u Y W 1 l b i w y M 3 0 m c X V v d D s s J n F 1 b 3 Q 7 U 2 V j d G l v b j E v S 0 R M L 0 F 1 d G 9 S Z W 1 v d m V k Q 2 9 s d W 1 u c z E u e 0 F z c C 4 g a W 5 k I G 9 w Z 2 V n Z X Z l b i B u Y W 1 l b i w y N H 0 m c X V v d D s s J n F 1 b 3 Q 7 U 2 V j d G l v b j E v S 0 R M L 0 F 1 d G 9 S Z W 1 v d m V k Q 2 9 s d W 1 u c z E u e 0 h v b 2 Z k a 2 9 y c H M s M j V 9 J n F 1 b 3 Q 7 L C Z x d W 9 0 O 1 N l Y 3 R p b 2 4 x L 0 t E T C 9 B d X R v U m V t b 3 Z l Z E N v b H V t b n M x L n s y Z S B r b 3 J w c y w y N n 0 m c X V v d D s s J n F 1 b 3 Q 7 U 2 V j d G l v b j E v S 0 R M L 0 F 1 d G 9 S Z W 1 v d m V k Q 2 9 s d W 1 u c z E u e 0 d y b 2 V w Z W 4 s I H R l Y W 1 z L C B l b n N l b W J s Z X M g Z W 4 g Z H V v X H U w M D I 3 c y w y N 3 0 m c X V v d D s s J n F 1 b 3 Q 7 U 2 V j d G l v b j E v S 0 R M L 0 F 1 d G 9 S Z W 1 v d m V k Q 2 9 s d W 1 u c z E u e 1 N l b m l v c m V u L D I 4 f S Z x d W 9 0 O y w m c X V v d D t T Z W N 0 a W 9 u M S 9 L R E w v Q X V 0 b 1 J l b W 9 2 Z W R D b 2 x 1 b W 5 z M S 5 7 S m 9 u Z y B 2 b 2 x 3 Y X N z Z W 5 l L D I 5 f S Z x d W 9 0 O y w m c X V v d D t T Z W N 0 a W 9 u M S 9 L R E w v Q X V 0 b 1 J l b W 9 2 Z W R D b 2 x 1 b W 5 z M S 5 7 S n V u a W 9 y Z W 4 s M z B 9 J n F 1 b 3 Q 7 L C Z x d W 9 0 O 1 N l Y 3 R p b 2 4 x L 0 t E T C 9 B d X R v U m V t b 3 Z l Z E N v b H V t b n M x L n t B c 3 B p c m F u d G V u L D M x f S Z x d W 9 0 O y w m c X V v d D t T Z W N 0 a W 9 u M S 9 L R E w v Q X V 0 b 1 J l b W 9 2 Z W R D b 2 x 1 b W 5 z M S 5 7 T 3 B n Z W d l d m V u I H N l b m l v c m V u L D M y f S Z x d W 9 0 O y w m c X V v d D t T Z W N 0 a W 9 u M S 9 L R E w v Q X V 0 b 1 J l b W 9 2 Z W R D b 2 x 1 b W 5 z M S 5 7 T 3 B n Z W d l d m V u I G p v b m c g d m 9 s d 2 F z c 2 V u Z S w z M 3 0 m c X V v d D s s J n F 1 b 3 Q 7 U 2 V j d G l v b j E v S 0 R M L 0 F 1 d G 9 S Z W 1 v d m V k Q 2 9 s d W 1 u c z E u e 0 9 w Z 2 V n Z X Z l b i B q d W 5 p b 3 J l b i w z N H 0 m c X V v d D s s J n F 1 b 3 Q 7 U 2 V j d G l v b j E v S 0 R M L 0 F 1 d G 9 S Z W 1 v d m V k Q 2 9 s d W 1 u c z E u e 0 9 w Z 2 V n Z X Z l b i B h c 3 B p c m F u d G V u L D M 1 f S Z x d W 9 0 O y w m c X V v d D t T Z W N 0 a W 9 u M S 9 L R E w v Q X V 0 b 1 J l b W 9 2 Z W R D b 2 x 1 b W 5 z M S 5 7 T W F y a 2 V 0 Z W 5 0 c 3 R l c n M s M z Z 9 J n F 1 b 3 Q 7 L C Z x d W 9 0 O 1 N l Y 3 R p b 2 4 x L 0 t E T C 9 B d X R v U m V t b 3 Z l Z E N v b H V t b n M x L n t M d W N o d G d l d 2 V l c i w z N 3 0 m c X V v d D s s J n F 1 b 3 Q 7 U 2 V j d G l v b j E v S 0 R M L 0 F 1 d G 9 S Z W 1 v d m V k Q 2 9 s d W 1 u c z E u e 0 F h b n R h b C B s d W N o d G d l d 2 V l c n N j a H V 0 d G V y c y w z O H 0 m c X V v d D s s J n F 1 b 3 Q 7 U 2 V j d G l v b j E v S 0 R M L 0 F 1 d G 9 S Z W 1 v d m V k Q 2 9 s d W 1 u c z E u e 0 x 1 Y 2 h 0 c G l z d G 9 v b C w z O X 0 m c X V v d D s s J n F 1 b 3 Q 7 U 2 V j d G l v b j E v S 0 R M L 0 F 1 d G 9 S Z W 1 v d m V k Q 2 9 s d W 1 u c z E u e 0 F h b n R h b C B s d W N o d H B p c 3 R v b 2 x z Y 2 h 1 d H R l c n M s N D B 9 J n F 1 b 3 Q 7 L C Z x d W 9 0 O 1 N l Y 3 R p b 2 4 x L 0 t E T C 9 B d X R v U m V t b 3 Z l Z E N v b H V t b n M x L n t I Y W 5 k Y m 9 v Z y w 0 M X 0 m c X V v d D s s J n F 1 b 3 Q 7 U 2 V j d G l v b j E v S 0 R M L 0 F 1 d G 9 S Z W 1 v d m V k Q 2 9 s d W 1 u c z E u e 0 F h b n R h b C B o Y W 5 k Y m 9 v Z 3 N j a H V 0 d G V y c y w 0 M n 0 m c X V v d D s s J n F 1 b 3 Q 7 U 2 V j d G l v b j E v S 0 R M L 0 F 1 d G 9 S Z W 1 v d m V k Q 2 9 s d W 1 u c z E u e 0 t y d W l z Y m 9 v Z y w 0 M 3 0 m c X V v d D s s J n F 1 b 3 Q 7 U 2 V j d G l v b j E v S 0 R M L 0 F 1 d G 9 S Z W 1 v d m V k Q 2 9 s d W 1 u c z E u e 0 F h b n R h b C B r c n V p c 2 J v b 2 d z Y 2 h 1 d H R l c n M s N D R 9 J n F 1 b 3 Q 7 L C Z x d W 9 0 O 1 N l Y 3 R p b 2 4 x L 0 t E T C 9 B d X R v U m V t b 3 Z l Z E N v b H V t b n M x L n t M d W N o d G d l d 2 V l c i B q Z X V n Z C B u a W V 0 I G 9 1 Z G V y I G R h b i A x N y B q Y W F y L i w 0 N X 0 m c X V v d D s s J n F 1 b 3 Q 7 U 2 V j d G l v b j E v S 0 R M L 0 F 1 d G 9 S Z W 1 v d m V k Q 2 9 s d W 1 u c z E u e 0 F h b n R h b C B r b 3 J w c 2 V u L D Q 2 f S Z x d W 9 0 O y w m c X V v d D t T Z W N 0 a W 9 u M S 9 L R E w v Q X V 0 b 1 J l b W 9 2 Z W R D b 2 x 1 b W 5 z M S 5 7 T 3 B n Z W d l d m V u I G p l d W d k a 2 9 y c H N l b i B M R y w 0 N 3 0 m c X V v d D s s J n F 1 b 3 Q 7 U 2 V j d G l v b j E v S 0 R M L 0 F 1 d G 9 S Z W 1 v d m V k Q 2 9 s d W 1 u c z E u e 1 R v d G F h b C B h Y W 5 0 Y W w g Z G V l b G 5 l b W V y c y w 0 O H 0 m c X V v d D s s J n F 1 b 3 Q 7 U 2 V j d G l v b j E v S 0 R M L 0 F 1 d G 9 S Z W 1 v d m V k Q 2 9 s d W 1 u c z E u e 1 d h Y X J 2 Y W 4 g Y W F u d G F s I G p l d W d k I C h 0 L 2 0 g M T U g a m F h c i k s N D l 9 J n F 1 b 3 Q 7 L C Z x d W 9 0 O 1 N l Y 3 R p b 2 4 x L 0 t E T C 9 B d X R v U m V t b 3 Z l Z E N v b H V t b n M x L n t L Y W 5 v b i B l d G M u L D U w f S Z x d W 9 0 O y w m c X V v d D t T Z W N 0 a W 9 u M S 9 L R E w v Q X V 0 b 1 J l b W 9 2 Z W R D b 2 x 1 b W 5 z M S 5 7 U G F h c m R l b i B l b i 9 v Z i B r b 2 V 0 c 2 V u L D U x f S Z x d W 9 0 O y w m c X V v d D t T Z W N 0 a W 9 u M S 9 L R E w v Q X V 0 b 1 J l b W 9 2 Z W R D b 2 x 1 b W 5 z M S 5 7 V G 9 l b G l j a H R p b m c v b 3 B t Z X J r a W 5 n Z W 4 s N T J 9 J n F 1 b 3 Q 7 L C Z x d W 9 0 O 1 N l Y 3 R p b 2 4 x L 0 t E T C 9 B d X R v U m V t b 3 Z l Z E N v b H V t b n M x L n t J b n p l b m R p b m c t S U Q s N T N 9 J n F 1 b 3 Q 7 L C Z x d W 9 0 O 1 N l Y 3 R p b 2 4 x L 0 t E T C 9 B d X R v U m V t b 3 Z l Z E N v b H V t b n M x L n t J b n p l b m R k Y X R 1 b S w 1 N H 0 m c X V v d D s s J n F 1 b 3 Q 7 U 2 V j d G l v b j E v S 0 R M L 0 F 1 d G 9 S Z W 1 v d m V k Q 2 9 s d W 1 u c z E u e 0 R h d G U g V X B k Y X R l Z C w 1 N X 0 m c X V v d D s s J n F 1 b 3 Q 7 U 2 V j d G l v b j E v S 0 R M L 0 F 1 d G 9 S Z W 1 v d m V k Q 2 9 s d W 1 u c z E u e 0 5 h Y W 0 g d m F u I G h l d C B o b 2 9 m Z G t v c n B z L D U 2 f S Z x d W 9 0 O y w m c X V v d D t T Z W N 0 a W 9 u M S 9 L R E w v Q X V 0 b 1 J l b W 9 2 Z W R D b 2 x 1 b W 5 z M S 5 7 W m F s I G 9 w I H R y Z W R l b i B h b H M g K G h v b 2 Z k a 2 9 y c H M p L D U 3 f S Z x d W 9 0 O y w m c X V v d D t T Z W N 0 a W 9 u M S 9 L R E w v Q X V 0 b 1 J l b W 9 2 Z W R D b 2 x 1 b W 5 z M S 5 7 V m 9 y b S B 2 Y W 4 g d H d l Z S B t d X p p Z W t 3 Z X J r Z W 4 g K G h v b 2 Z k a 2 9 y c H M p L D U 4 f S Z x d W 9 0 O y w m c X V v d D t T Z W N 0 a W 9 u M S 9 L R E w v Q X V 0 b 1 J l b W 9 2 Z W R D b 2 x 1 b W 5 z M S 5 7 W m F s I H V p d G t v b W V u I G l u I G R l O i A o a G 9 v Z m R r b 3 J w c y k s N T l 9 J n F 1 b 3 Q 7 L C Z x d W 9 0 O 1 N l Y 3 R p b 2 4 x L 0 t E T C 9 B d X R v U m V t b 3 Z l Z E N v b H V t b n M x L n t N d X p p Z W t 3 Z X J r M S A o a G 9 v Z m R r b 3 J w c y k s N j B 9 J n F 1 b 3 Q 7 L C Z x d W 9 0 O 1 N l Y 3 R p b 2 4 x L 0 t E T C 9 B d X R v U m V t b 3 Z l Z E N v b H V t b n M x L n t N d X p p Z W t 3 Z X J r M i A o a G 9 v Z m R r b 3 J w c y k s N j F 9 J n F 1 b 3 Q 7 L C Z x d W 9 0 O 1 N l Y 3 R p b 2 4 x L 0 t E T C 9 B d X R v U m V t b 3 Z l Z E N v b H V t b n M x L n t L b 3 J w c y B i Z X N 0 Y W F 0 I H V p d C A u L i 4 g Z G V l b G 5 l b W V y c y A o a G 9 v Z m R r b 3 J w c y k s N j J 9 J n F 1 b 3 Q 7 L C Z x d W 9 0 O 1 N l Y 3 R p b 2 4 x L 0 t E T C 9 B d X R v U m V t b 3 Z l Z E N v b H V t b n M x L n t O Y W F t I H Z h b i B o Z X Q g M m U g a 2 9 y c H M s N j N 9 J n F 1 b 3 Q 7 L C Z x d W 9 0 O 1 N l Y 3 R p b 2 4 x L 0 t E T C 9 B d X R v U m V t b 3 Z l Z E N v b H V t b n M x L n t a Y W w g b 3 A g d H J l Z G V u I G F s c y A o M m U g a 2 9 y c H M p L D Y 0 f S Z x d W 9 0 O y w m c X V v d D t T Z W N 0 a W 9 u M S 9 L R E w v Q X V 0 b 1 J l b W 9 2 Z W R D b 2 x 1 b W 5 z M S 5 7 V m 9 y b S B 2 Y W 4 g d H d l Z S B t d X p p Z W t 3 Z X J r Z W 4 g K D J l I G t v c n B z K S w 2 N X 0 m c X V v d D s s J n F 1 b 3 Q 7 U 2 V j d G l v b j E v S 0 R M L 0 F 1 d G 9 S Z W 1 v d m V k Q 2 9 s d W 1 u c z E u e 1 p h b C B 1 a X R r b 2 1 l b i B p b i B k Z T o g K D J l I G t v c n B z K S w 2 N n 0 m c X V v d D s s J n F 1 b 3 Q 7 U 2 V j d G l v b j E v S 0 R M L 0 F 1 d G 9 S Z W 1 v d m V k Q 2 9 s d W 1 u c z E u e 0 1 1 e m l l a 3 d l c m s x I C g y Z S B r b 3 J w c y k s N j d 9 J n F 1 b 3 Q 7 L C Z x d W 9 0 O 1 N l Y 3 R p b 2 4 x L 0 t E T C 9 B d X R v U m V t b 3 Z l Z E N v b H V t b n M x L n t N d X p p Z W t 3 Z X J r M i A o M m U g a 2 9 y c H M p L D Y 4 f S Z x d W 9 0 O y w m c X V v d D t T Z W N 0 a W 9 u M S 9 L R E w v Q X V 0 b 1 J l b W 9 2 Z W R D b 2 x 1 b W 5 z M S 5 7 S 2 9 y c H M g Y m V z d G F h d C B 1 a X Q g L i 4 u I G R l Z W x u Z W 1 l c n M g K D J l I G t v c n B z K S w 2 O X 0 m c X V v d D s s J n F 1 b 3 Q 7 U 2 V j d G l v b j E v S 0 R M L 0 F 1 d G 9 S Z W 1 v d m V k Q 2 9 s d W 1 u c z E u e 0 1 l Y 2 h h b m l z Y 2 h l I G 1 1 e m l l a y w 3 M H 0 m c X V v d D s s J n F 1 b 3 Q 7 U 2 V j d G l v b j E v S 0 R M L 0 F 1 d G 9 S Z W 1 v d m V k Q 2 9 s d W 1 u c z E u e 0 9 u Z G V y Z G V s Z W 4 s N z F 9 J n F 1 b 3 Q 7 L C Z x d W 9 0 O 1 N l Y 3 R p b 2 4 x L 0 t E T C 9 B d X R v U m V t b 3 Z l Z E N v b H V t b n M x L n t T Z W N 0 a W V z L D c y f S Z x d W 9 0 O y w m c X V v d D t T Z W N 0 a W 9 u M S 9 L R E w v Q X V 0 b 1 J l b W 9 2 Z W R D b 2 x 1 b W 5 z M S 5 7 T G V l Z n R p a m R z Y 2 F 0 Z W d v c m l l L D c z f S Z x d W 9 0 O y w m c X V v d D t T Z W N 0 a W 9 u M S 9 L R E w v Q X V 0 b 1 J l b W 9 2 Z W R D b 2 x 1 b W 5 z M S 5 7 Q W F u d G F s I G 9 w Z 2 V n Z X Z l b i B t Y W p v c m V 0 d G V z L D c 0 f S Z x d W 9 0 O 1 0 s J n F 1 b 3 Q 7 U m V s Y X R p b 2 5 z a G l w S W 5 m b y Z x d W 9 0 O z p b X X 0 i I C 8 + P C 9 T d G F i b G V F b n R y a W V z P j w v S X R l b T 4 8 S X R l b T 4 8 S X R l b U x v Y 2 F 0 a W 9 u P j x J d G V t V H l w Z T 5 G b 3 J t d W x h P C 9 J d G V t V H l w Z T 4 8 S X R l b V B h d G g + U 2 V j d G l v b j E v S 0 R B P C 9 J d G V t U G F 0 a D 4 8 L 0 l 0 Z W 1 M b 2 N h d G l v b j 4 8 U 3 R h Y m x l R W 5 0 c m l l c z 4 8 R W 5 0 c n k g V H l w Z T 0 i T m F 2 a W d h d G l v b l N 0 Z X B O Y W 1 l I i B W Y W x 1 Z T 0 i c 0 5 h d m l n Y X R p Z 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z A 0 Z T E 5 Z G Y y L T Q 2 M m I t N G Y 0 Y S 1 i Z T U 5 L T k 4 Z j B h N D Z k O D N i N S I g L z 4 8 R W 5 0 c n k g V H l w Z T 0 i T m F t Z V V w Z G F 0 Z W R B Z n R l c k Z p b G w i I F Z h b H V l P S J s M C I g L z 4 8 R W 5 0 c n k g V H l w Z T 0 i Q n V m Z m V y T m V 4 d F J l Z n J l c 2 g i I F Z h b H V l P S J s M S I g L z 4 8 R W 5 0 c n k g V H l w Z T 0 i R m l s b E 9 i a m V j d F R 5 c G U i I F Z h b H V l P S J z V G F i b G U i I C 8 + P E V u d H J 5 I F R 5 c G U 9 I l J l c 3 V s d F R 5 c G U i I F Z h b H V l P S J z V G F i b G U i I C 8 + P E V u d H J 5 I F R 5 c G U 9 I k x v Y W R l Z F R v Q W 5 h b H l z a X N T Z X J 2 a W N l c y I g V m F s d W U 9 I m w w I i A v P j x F b n R y e S B U e X B l P S J S Z W N v d m V y e V R h c m d l d F N o Z W V 0 I i B W Y W x 1 Z T 0 i c 0 t E Q S I g L z 4 8 R W 5 0 c n k g V H l w Z T 0 i U m V j b 3 Z l c n l U Y X J n Z X R D b 2 x 1 b W 4 i I F Z h b H V l P S J s M S I g L z 4 8 R W 5 0 c n k g V H l w Z T 0 i U m V j b 3 Z l c n l U Y X J n Z X R S b 3 c i I F Z h b H V l P S J s M T A i I C 8 + P E V u d H J 5 I F R 5 c G U 9 I k Z p b G x U Y X J n Z X Q i I F Z h b H V l P S J z S 0 R B I i A v P j x F b n R y e S B U e X B l P S J M b 2 F k V G 9 S Z X B v c n R E a X N h Y m x l Z C I g V m F s d W U 9 I m w w I i A v P j x F b n R y e S B U e X B l P S J G a W x s T G F z d F V w Z G F 0 Z W Q i I F Z h b H V l P S J k M j A y N C 0 x M i 0 y M V Q x M j o 0 M j o 0 M y 4 x M z k x N j k w W i I g L z 4 8 R W 5 0 c n k g V H l w Z T 0 i R m l s b E V y c m 9 y Q 2 9 1 b n Q i I F Z h b H V l P S J s M C I g L z 4 8 R W 5 0 c n k g V H l w Z T 0 i R m l s b E N v b H V t b l R 5 c G V z I i B W Y W x 1 Z T 0 i c 0 J n W U d C Z 1 l H Q m d Z R E F 3 T U R B d 0 1 E Q X d Z R 0 J n T U R B d 0 1 E Q X d Z R 0 F 3 T U R B d 0 1 E Q X d N R E J n W U R C Z 0 1 H Q X d Z R E J n T U R B d 0 1 H Q m d Z R E J 3 Y 0 d C Z 1 l H Q m d Z R E J n W U d C Z 1 l H Q X d Z R 0 J n W U Q i I C 8 + P E V u d H J 5 I F R 5 c G U 9 I k Z p b G x F c n J v c k N v Z G U i I F Z h b H V l P S J z V W 5 r b m 9 3 b i I g L z 4 8 R W 5 0 c n k g V H l w Z T 0 i R m l s b E N v b H V t b k 5 h b W V z I i B W Y W x 1 Z T 0 i c 1 s m c X V v d D t L c m l u Z 2 R h Z y Z x d W 9 0 O y w m c X V v d D t W Z X I u b n I m c X V v d D s s J n F 1 b 3 Q 7 T m F h b S B 2 Z X J l b m l n a W 5 n J n F 1 b 3 Q 7 L C Z x d W 9 0 O 0 R l b G V n Y X R p Z S Z x d W 9 0 O y w m c X V v d D t N d X p p Z W t r b 3 J w c y B i a W o g b W F y c y B l b i B k Z W Z p b F x 1 M D B F O S Z x d W 9 0 O y w m c X V v d D t E Z W V s b i 4 g a m V 1 Z 2 R r b 2 5 p b m d z Y 2 h p Z X R l b i Z x d W 9 0 O y w m c X V v d D t N Y W o u I F N l b m l v c m V u I G p 1 c m V y Z W 4 g Y m l q I G 1 h c n M m c X V v d D s s J n F 1 b 3 Q 7 T W F q L i B K Z X V n Z C B q d X J l c m V u I G J p a i B t Y X J z J n F 1 b 3 Q 7 L C Z x d W 9 0 O 0 t v c n B z I H N l b m l v c m V u J n F 1 b 3 Q 7 L C Z x d W 9 0 O 0 p 1 b m l v c m V u I G t v c n B z I D E m c X V v d D s s J n F 1 b 3 Q 7 S n V u a W 9 y Z W 4 g a 2 9 y c H M g M i Z x d W 9 0 O y w m c X V v d D t B c 3 B p c m F u d G V u I G t v c n B z I D E m c X V v d D s s J n F 1 b 3 Q 7 Q X N w a X J h b n R l b i B r b 3 J w c y A y J n F 1 b 3 Q 7 L C Z x d W 9 0 O 0 F j c m 9 i Y X R p c 2 N o I H N l b m l v c m V u J n F 1 b 3 Q 7 L C Z x d W 9 0 O 0 F j c m 9 i Y X R p c 2 N o I G p 1 b m l v c m V u J n F 1 b 3 Q 7 L C Z x d W 9 0 O 0 F j c m 9 i Y X R p c 2 N o I G F z c G l y Y W 5 0 Z W 4 m c X V v d D s s J n F 1 b 3 Q 7 U 2 h v d y B z Z W 5 p b 3 J l b i Z x d W 9 0 O y w m c X V v d D t T a G 9 3 I G p 1 b m l v c m V u J n F 1 b 3 Q 7 L C Z x d W 9 0 O 1 N o b 3 c g Y X N w a X J h b n R l b i Z x d W 9 0 O y w m c X V v d D t T Z W 5 p b 3 J l b i B p b m R p d i 4 m c X V v d D s s J n F 1 b 3 Q 7 S n V u a W 9 y Z W 4 g a W 5 k a X Y u J n F 1 b 3 Q 7 L C Z x d W 9 0 O 0 F z c G l y Y W 5 0 Z W 4 g a W 5 k a X Y u J n F 1 b 3 Q 7 L C Z x d W 9 0 O 1 N l b i 4 g a W 5 k I G 9 w Z 2 V n Z X Z l b i B u Y W 1 l b i Z x d W 9 0 O y w m c X V v d D t K d W 4 u I G l u Z C B v c G d l Z 2 V 2 Z W 4 g b m F t Z W 4 m c X V v d D s s J n F 1 b 3 Q 7 Q X N w L i B p b m Q g b 3 B n Z W d l d m V u I G 5 h b W V u J n F 1 b 3 Q 7 L C Z x d W 9 0 O 0 h v b 2 Z k a 2 9 y c H M m c X V v d D s s J n F 1 b 3 Q 7 M m U g a 2 9 y c H M m c X V v d D s s J n F 1 b 3 Q 7 R 3 J v Z X B l b i w g d G V h b X M s I G V u c 2 V t Y m x l c y B l b i B k d W 9 c d T A w M j d z J n F 1 b 3 Q 7 L C Z x d W 9 0 O 1 N l b m l v c m V u J n F 1 b 3 Q 7 L C Z x d W 9 0 O 0 p v b m c g d m 9 s d 2 F z c 2 V u Z S Z x d W 9 0 O y w m c X V v d D t K d W 5 p b 3 J l b i Z x d W 9 0 O y w m c X V v d D t B c 3 B p c m F u d G V u J n F 1 b 3 Q 7 L C Z x d W 9 0 O 0 9 w Z 2 V n Z X Z l b i B z Z W 5 p b 3 J l b i Z x d W 9 0 O y w m c X V v d D t P c G d l Z 2 V 2 Z W 4 g a m 9 u Z y B 2 b 2 x 3 Y X N z Z W 5 l J n F 1 b 3 Q 7 L C Z x d W 9 0 O 0 9 w Z 2 V n Z X Z l b i B q d W 5 p b 3 J l b i Z x d W 9 0 O y w m c X V v d D t P c G d l Z 2 V 2 Z W 4 g Y X N w a X J h b n R l b i Z x d W 9 0 O y w m c X V v d D t N Y X J r Z X R l b n R z d G V y c y Z x d W 9 0 O y w m c X V v d D t M d W N o d G d l d 2 V l c i Z x d W 9 0 O y w m c X V v d D t B Y W 5 0 Y W w g b H V j a H R n Z X d l Z X J z Y 2 h 1 d H R l c n M m c X V v d D s s J n F 1 b 3 Q 7 T H V j a H R w a X N 0 b 2 9 s J n F 1 b 3 Q 7 L C Z x d W 9 0 O 0 F h b n R h b C B s d W N o d H B p c 3 R v b 2 x z Y 2 h 1 d H R l c n M m c X V v d D s s J n F 1 b 3 Q 7 S G F u Z G J v b 2 c m c X V v d D s s J n F 1 b 3 Q 7 Q W F u d G F s I G h h b m R i b 2 9 n c 2 N o d X R 0 Z X J z J n F 1 b 3 Q 7 L C Z x d W 9 0 O 0 t y d W l z Y m 9 v Z y Z x d W 9 0 O y w m c X V v d D t B Y W 5 0 Y W w g a 3 J 1 a X N i b 2 9 n c 2 N o d X R 0 Z X J z J n F 1 b 3 Q 7 L C Z x d W 9 0 O 0 x 1 Y 2 h 0 Z 2 V 3 Z W V y I G p l d W d k I G 5 p Z X Q g b 3 V k Z X I g Z G F u I D E 3 I G p h Y X I u J n F 1 b 3 Q 7 L C Z x d W 9 0 O 0 F h b n R h b C B r b 3 J w c 2 V u J n F 1 b 3 Q 7 L C Z x d W 9 0 O 0 9 w Z 2 V n Z X Z l b i B q Z X V n Z G t v c n B z Z W 4 g T E c m c X V v d D s s J n F 1 b 3 Q 7 V G 9 0 Y W F s I G F h b n R h b C B k Z W V s b m V t Z X J z J n F 1 b 3 Q 7 L C Z x d W 9 0 O 1 d h Y X J 2 Y W 4 g Y W F u d G F s I G p l d W d k I C h 0 L 2 0 g M T U g a m F h c i k m c X V v d D s s J n F 1 b 3 Q 7 S 2 F u b 2 4 g Z X R j L i Z x d W 9 0 O y w m c X V v d D t Q Y W F y Z G V u I G V u L 2 9 m I G t v Z X R z Z W 4 m c X V v d D s s J n F 1 b 3 Q 7 V G 9 l b G l j a H R p b m c v b 3 B t Z X J r a W 5 n Z W 4 m c X V v d D s s J n F 1 b 3 Q 7 S W 5 6 Z W 5 k a W 5 n L U l E J n F 1 b 3 Q 7 L C Z x d W 9 0 O 0 l u e m V u Z G R h d H V t J n F 1 b 3 Q 7 L C Z x d W 9 0 O 0 R h d G U g V X B k Y X R l Z C Z x d W 9 0 O y w m c X V v d D t O Y W F t I H Z h b i B o Z X Q g a G 9 v Z m R r b 3 J w c y Z x d W 9 0 O y w m c X V v d D t a Y W w g b 3 A g d H J l Z G V u I G F s c y A o a G 9 v Z m R r b 3 J w c y k m c X V v d D s s J n F 1 b 3 Q 7 V m 9 y b S B 2 Y W 4 g d H d l Z S B t d X p p Z W t 3 Z X J r Z W 4 g K G h v b 2 Z k a 2 9 y c H M p J n F 1 b 3 Q 7 L C Z x d W 9 0 O 1 p h b C B 1 a X R r b 2 1 l b i B p b i B k Z T o g K G h v b 2 Z k a 2 9 y c H M p J n F 1 b 3 Q 7 L C Z x d W 9 0 O 0 1 1 e m l l a 3 d l c m s x I C h o b 2 9 m Z G t v c n B z K S Z x d W 9 0 O y w m c X V v d D t N d X p p Z W t 3 Z X J r M i A o a G 9 v Z m R r b 3 J w c y k m c X V v d D s s J n F 1 b 3 Q 7 S 2 9 y c H M g Y m V z d G F h d C B 1 a X Q g L i 4 u I G R l Z W x u Z W 1 l c n M g K G h v b 2 Z k a 2 9 y c H M p J n F 1 b 3 Q 7 L C Z x d W 9 0 O 0 5 h Y W 0 g d m F u I G h l d C A y Z S B r b 3 J w c y Z x d W 9 0 O y w m c X V v d D t a Y W w g b 3 A g d H J l Z G V u I G F s c y A o M m U g a 2 9 y c H M p J n F 1 b 3 Q 7 L C Z x d W 9 0 O 1 Z v c m 0 g d m F u I H R 3 Z W U g b X V 6 a W V r d 2 V y a 2 V u I C g y Z S B r b 3 J w c y k m c X V v d D s s J n F 1 b 3 Q 7 W m F s I H V p d G t v b W V u I G l u I G R l O i A o M m U g a 2 9 y c H M p J n F 1 b 3 Q 7 L C Z x d W 9 0 O 0 1 1 e m l l a 3 d l c m s x I C g y Z S B r b 3 J w c y k m c X V v d D s s J n F 1 b 3 Q 7 T X V 6 a W V r d 2 V y a z I g K D J l I G t v c n B z K S Z x d W 9 0 O y w m c X V v d D t L b 3 J w c y B i Z X N 0 Y W F 0 I H V p d C A u L i 4 g Z G V l b G 5 l b W V y c y A o M m U g a 2 9 y c H M p J n F 1 b 3 Q 7 L C Z x d W 9 0 O 0 1 l Y 2 h h b m l z Y 2 h l I G 1 1 e m l l a y Z x d W 9 0 O y w m c X V v d D t P b m R l c m R l b G V u J n F 1 b 3 Q 7 L C Z x d W 9 0 O 1 N l Y 3 R p Z X M m c X V v d D s s J n F 1 b 3 Q 7 T G V l Z n R p a m R z Y 2 F 0 Z W d v c m l l J n F 1 b 3 Q 7 L C Z x d W 9 0 O 0 F h b n R h b C B v c G d l Z 2 V 2 Z W 4 g b W F q b 3 J l d H R l c y Z x d W 9 0 O 1 0 i I C 8 + P E V u d H J 5 I F R 5 c G U 9 I k Z p b G x D b 3 V u d C I g V m F s d W U 9 I m w x M i I g L z 4 8 R W 5 0 c n k g V H l w Z T 0 i R m l s b F N 0 Y X R 1 c y I g V m F s d W U 9 I n N D b 2 1 w b G V 0 Z S I g L z 4 8 R W 5 0 c n k g V H l w Z T 0 i Q W R k Z W R U b 0 R h d G F N b 2 R l b C I g V m F s d W U 9 I m w w I i A v P j x F b n R y e S B U e X B l P S J S Z W x h d G l v b n N o a X B J b m Z v Q 2 9 u d G F p b m V y I i B W Y W x 1 Z T 0 i c 3 s m c X V v d D t j b 2 x 1 b W 5 D b 3 V u d C Z x d W 9 0 O z o 3 N S w m c X V v d D t r Z X l D b 2 x 1 b W 5 O Y W 1 l c y Z x d W 9 0 O z p b X S w m c X V v d D t x d W V y e V J l b G F 0 a W 9 u c 2 h p c H M m c X V v d D s 6 W 1 0 s J n F 1 b 3 Q 7 Y 2 9 s d W 1 u S W R l b n R p d G l l c y Z x d W 9 0 O z p b J n F 1 b 3 Q 7 U 2 V j d G l v b j E v S 0 R B L 0 F 1 d G 9 S Z W 1 v d m V k Q 2 9 s d W 1 u c z E u e 0 t y a W 5 n Z G F n L D B 9 J n F 1 b 3 Q 7 L C Z x d W 9 0 O 1 N l Y 3 R p b 2 4 x L 0 t E Q S 9 B d X R v U m V t b 3 Z l Z E N v b H V t b n M x L n t W Z X I u b n I s M X 0 m c X V v d D s s J n F 1 b 3 Q 7 U 2 V j d G l v b j E v S 0 R B L 0 F 1 d G 9 S Z W 1 v d m V k Q 2 9 s d W 1 u c z E u e 0 5 h Y W 0 g d m V y Z W 5 p Z 2 l u Z y w y f S Z x d W 9 0 O y w m c X V v d D t T Z W N 0 a W 9 u M S 9 L R E E v Q X V 0 b 1 J l b W 9 2 Z W R D b 2 x 1 b W 5 z M S 5 7 R G V s Z W d h d G l l L D N 9 J n F 1 b 3 Q 7 L C Z x d W 9 0 O 1 N l Y 3 R p b 2 4 x L 0 t E Q S 9 B d X R v U m V t b 3 Z l Z E N v b H V t b n M x L n t N d X p p Z W t r b 3 J w c y B i a W o g b W F y c y B l b i B k Z W Z p b F x 1 M D B F O S w 0 f S Z x d W 9 0 O y w m c X V v d D t T Z W N 0 a W 9 u M S 9 L R E E v Q X V 0 b 1 J l b W 9 2 Z W R D b 2 x 1 b W 5 z M S 5 7 R G V l b G 4 u I G p l d W d k a 2 9 u a W 5 n c 2 N o a W V 0 Z W 4 s N X 0 m c X V v d D s s J n F 1 b 3 Q 7 U 2 V j d G l v b j E v S 0 R B L 0 F 1 d G 9 S Z W 1 v d m V k Q 2 9 s d W 1 u c z E u e 0 1 h a i 4 g U 2 V u a W 9 y Z W 4 g a n V y Z X J l b i B i a W o g b W F y c y w 2 f S Z x d W 9 0 O y w m c X V v d D t T Z W N 0 a W 9 u M S 9 L R E E v Q X V 0 b 1 J l b W 9 2 Z W R D b 2 x 1 b W 5 z M S 5 7 T W F q L i B K Z X V n Z C B q d X J l c m V u I G J p a i B t Y X J z L D d 9 J n F 1 b 3 Q 7 L C Z x d W 9 0 O 1 N l Y 3 R p b 2 4 x L 0 t E Q S 9 B d X R v U m V t b 3 Z l Z E N v b H V t b n M x L n t L b 3 J w c y B z Z W 5 p b 3 J l b i w 4 f S Z x d W 9 0 O y w m c X V v d D t T Z W N 0 a W 9 u M S 9 L R E E v Q X V 0 b 1 J l b W 9 2 Z W R D b 2 x 1 b W 5 z M S 5 7 S n V u a W 9 y Z W 4 g a 2 9 y c H M g M S w 5 f S Z x d W 9 0 O y w m c X V v d D t T Z W N 0 a W 9 u M S 9 L R E E v Q X V 0 b 1 J l b W 9 2 Z W R D b 2 x 1 b W 5 z M S 5 7 S n V u a W 9 y Z W 4 g a 2 9 y c H M g M i w x M H 0 m c X V v d D s s J n F 1 b 3 Q 7 U 2 V j d G l v b j E v S 0 R B L 0 F 1 d G 9 S Z W 1 v d m V k Q 2 9 s d W 1 u c z E u e 0 F z c G l y Y W 5 0 Z W 4 g a 2 9 y c H M g M S w x M X 0 m c X V v d D s s J n F 1 b 3 Q 7 U 2 V j d G l v b j E v S 0 R B L 0 F 1 d G 9 S Z W 1 v d m V k Q 2 9 s d W 1 u c z E u e 0 F z c G l y Y W 5 0 Z W 4 g a 2 9 y c H M g M i w x M n 0 m c X V v d D s s J n F 1 b 3 Q 7 U 2 V j d G l v b j E v S 0 R B L 0 F 1 d G 9 S Z W 1 v d m V k Q 2 9 s d W 1 u c z E u e 0 F j c m 9 i Y X R p c 2 N o I H N l b m l v c m V u L D E z f S Z x d W 9 0 O y w m c X V v d D t T Z W N 0 a W 9 u M S 9 L R E E v Q X V 0 b 1 J l b W 9 2 Z W R D b 2 x 1 b W 5 z M S 5 7 Q W N y b 2 J h d G l z Y 2 g g a n V u a W 9 y Z W 4 s M T R 9 J n F 1 b 3 Q 7 L C Z x d W 9 0 O 1 N l Y 3 R p b 2 4 x L 0 t E Q S 9 B d X R v U m V t b 3 Z l Z E N v b H V t b n M x L n t B Y 3 J v Y m F 0 a X N j a C B h c 3 B p c m F u d G V u L D E 1 f S Z x d W 9 0 O y w m c X V v d D t T Z W N 0 a W 9 u M S 9 L R E E v Q X V 0 b 1 J l b W 9 2 Z W R D b 2 x 1 b W 5 z M S 5 7 U 2 h v d y B z Z W 5 p b 3 J l b i w x N n 0 m c X V v d D s s J n F 1 b 3 Q 7 U 2 V j d G l v b j E v S 0 R B L 0 F 1 d G 9 S Z W 1 v d m V k Q 2 9 s d W 1 u c z E u e 1 N o b 3 c g a n V u a W 9 y Z W 4 s M T d 9 J n F 1 b 3 Q 7 L C Z x d W 9 0 O 1 N l Y 3 R p b 2 4 x L 0 t E Q S 9 B d X R v U m V t b 3 Z l Z E N v b H V t b n M x L n t T a G 9 3 I G F z c G l y Y W 5 0 Z W 4 s M T h 9 J n F 1 b 3 Q 7 L C Z x d W 9 0 O 1 N l Y 3 R p b 2 4 x L 0 t E Q S 9 B d X R v U m V t b 3 Z l Z E N v b H V t b n M x L n t T Z W 5 p b 3 J l b i B p b m R p d i 4 s M T l 9 J n F 1 b 3 Q 7 L C Z x d W 9 0 O 1 N l Y 3 R p b 2 4 x L 0 t E Q S 9 B d X R v U m V t b 3 Z l Z E N v b H V t b n M x L n t K d W 5 p b 3 J l b i B p b m R p d i 4 s M j B 9 J n F 1 b 3 Q 7 L C Z x d W 9 0 O 1 N l Y 3 R p b 2 4 x L 0 t E Q S 9 B d X R v U m V t b 3 Z l Z E N v b H V t b n M x L n t B c 3 B p c m F u d G V u I G l u Z G l 2 L i w y M X 0 m c X V v d D s s J n F 1 b 3 Q 7 U 2 V j d G l v b j E v S 0 R B L 0 F 1 d G 9 S Z W 1 v d m V k Q 2 9 s d W 1 u c z E u e 1 N l b i 4 g a W 5 k I G 9 w Z 2 V n Z X Z l b i B u Y W 1 l b i w y M n 0 m c X V v d D s s J n F 1 b 3 Q 7 U 2 V j d G l v b j E v S 0 R B L 0 F 1 d G 9 S Z W 1 v d m V k Q 2 9 s d W 1 u c z E u e 0 p 1 b i 4 g a W 5 k I G 9 w Z 2 V n Z X Z l b i B u Y W 1 l b i w y M 3 0 m c X V v d D s s J n F 1 b 3 Q 7 U 2 V j d G l v b j E v S 0 R B L 0 F 1 d G 9 S Z W 1 v d m V k Q 2 9 s d W 1 u c z E u e 0 F z c C 4 g a W 5 k I G 9 w Z 2 V n Z X Z l b i B u Y W 1 l b i w y N H 0 m c X V v d D s s J n F 1 b 3 Q 7 U 2 V j d G l v b j E v S 0 R B L 0 F 1 d G 9 S Z W 1 v d m V k Q 2 9 s d W 1 u c z E u e 0 h v b 2 Z k a 2 9 y c H M s M j V 9 J n F 1 b 3 Q 7 L C Z x d W 9 0 O 1 N l Y 3 R p b 2 4 x L 0 t E Q S 9 B d X R v U m V t b 3 Z l Z E N v b H V t b n M x L n s y Z S B r b 3 J w c y w y N n 0 m c X V v d D s s J n F 1 b 3 Q 7 U 2 V j d G l v b j E v S 0 R B L 0 F 1 d G 9 S Z W 1 v d m V k Q 2 9 s d W 1 u c z E u e 0 d y b 2 V w Z W 4 s I H R l Y W 1 z L C B l b n N l b W J s Z X M g Z W 4 g Z H V v X H U w M D I 3 c y w y N 3 0 m c X V v d D s s J n F 1 b 3 Q 7 U 2 V j d G l v b j E v S 0 R B L 0 F 1 d G 9 S Z W 1 v d m V k Q 2 9 s d W 1 u c z E u e 1 N l b m l v c m V u L D I 4 f S Z x d W 9 0 O y w m c X V v d D t T Z W N 0 a W 9 u M S 9 L R E E v Q X V 0 b 1 J l b W 9 2 Z W R D b 2 x 1 b W 5 z M S 5 7 S m 9 u Z y B 2 b 2 x 3 Y X N z Z W 5 l L D I 5 f S Z x d W 9 0 O y w m c X V v d D t T Z W N 0 a W 9 u M S 9 L R E E v Q X V 0 b 1 J l b W 9 2 Z W R D b 2 x 1 b W 5 z M S 5 7 S n V u a W 9 y Z W 4 s M z B 9 J n F 1 b 3 Q 7 L C Z x d W 9 0 O 1 N l Y 3 R p b 2 4 x L 0 t E Q S 9 B d X R v U m V t b 3 Z l Z E N v b H V t b n M x L n t B c 3 B p c m F u d G V u L D M x f S Z x d W 9 0 O y w m c X V v d D t T Z W N 0 a W 9 u M S 9 L R E E v Q X V 0 b 1 J l b W 9 2 Z W R D b 2 x 1 b W 5 z M S 5 7 T 3 B n Z W d l d m V u I H N l b m l v c m V u L D M y f S Z x d W 9 0 O y w m c X V v d D t T Z W N 0 a W 9 u M S 9 L R E E v Q X V 0 b 1 J l b W 9 2 Z W R D b 2 x 1 b W 5 z M S 5 7 T 3 B n Z W d l d m V u I G p v b m c g d m 9 s d 2 F z c 2 V u Z S w z M 3 0 m c X V v d D s s J n F 1 b 3 Q 7 U 2 V j d G l v b j E v S 0 R B L 0 F 1 d G 9 S Z W 1 v d m V k Q 2 9 s d W 1 u c z E u e 0 9 w Z 2 V n Z X Z l b i B q d W 5 p b 3 J l b i w z N H 0 m c X V v d D s s J n F 1 b 3 Q 7 U 2 V j d G l v b j E v S 0 R B L 0 F 1 d G 9 S Z W 1 v d m V k Q 2 9 s d W 1 u c z E u e 0 9 w Z 2 V n Z X Z l b i B h c 3 B p c m F u d G V u L D M 1 f S Z x d W 9 0 O y w m c X V v d D t T Z W N 0 a W 9 u M S 9 L R E E v Q X V 0 b 1 J l b W 9 2 Z W R D b 2 x 1 b W 5 z M S 5 7 T W F y a 2 V 0 Z W 5 0 c 3 R l c n M s M z Z 9 J n F 1 b 3 Q 7 L C Z x d W 9 0 O 1 N l Y 3 R p b 2 4 x L 0 t E Q S 9 B d X R v U m V t b 3 Z l Z E N v b H V t b n M x L n t M d W N o d G d l d 2 V l c i w z N 3 0 m c X V v d D s s J n F 1 b 3 Q 7 U 2 V j d G l v b j E v S 0 R B L 0 F 1 d G 9 S Z W 1 v d m V k Q 2 9 s d W 1 u c z E u e 0 F h b n R h b C B s d W N o d G d l d 2 V l c n N j a H V 0 d G V y c y w z O H 0 m c X V v d D s s J n F 1 b 3 Q 7 U 2 V j d G l v b j E v S 0 R B L 0 F 1 d G 9 S Z W 1 v d m V k Q 2 9 s d W 1 u c z E u e 0 x 1 Y 2 h 0 c G l z d G 9 v b C w z O X 0 m c X V v d D s s J n F 1 b 3 Q 7 U 2 V j d G l v b j E v S 0 R B L 0 F 1 d G 9 S Z W 1 v d m V k Q 2 9 s d W 1 u c z E u e 0 F h b n R h b C B s d W N o d H B p c 3 R v b 2 x z Y 2 h 1 d H R l c n M s N D B 9 J n F 1 b 3 Q 7 L C Z x d W 9 0 O 1 N l Y 3 R p b 2 4 x L 0 t E Q S 9 B d X R v U m V t b 3 Z l Z E N v b H V t b n M x L n t I Y W 5 k Y m 9 v Z y w 0 M X 0 m c X V v d D s s J n F 1 b 3 Q 7 U 2 V j d G l v b j E v S 0 R B L 0 F 1 d G 9 S Z W 1 v d m V k Q 2 9 s d W 1 u c z E u e 0 F h b n R h b C B o Y W 5 k Y m 9 v Z 3 N j a H V 0 d G V y c y w 0 M n 0 m c X V v d D s s J n F 1 b 3 Q 7 U 2 V j d G l v b j E v S 0 R B L 0 F 1 d G 9 S Z W 1 v d m V k Q 2 9 s d W 1 u c z E u e 0 t y d W l z Y m 9 v Z y w 0 M 3 0 m c X V v d D s s J n F 1 b 3 Q 7 U 2 V j d G l v b j E v S 0 R B L 0 F 1 d G 9 S Z W 1 v d m V k Q 2 9 s d W 1 u c z E u e 0 F h b n R h b C B r c n V p c 2 J v b 2 d z Y 2 h 1 d H R l c n M s N D R 9 J n F 1 b 3 Q 7 L C Z x d W 9 0 O 1 N l Y 3 R p b 2 4 x L 0 t E Q S 9 B d X R v U m V t b 3 Z l Z E N v b H V t b n M x L n t M d W N o d G d l d 2 V l c i B q Z X V n Z C B u a W V 0 I G 9 1 Z G V y I G R h b i A x N y B q Y W F y L i w 0 N X 0 m c X V v d D s s J n F 1 b 3 Q 7 U 2 V j d G l v b j E v S 0 R B L 0 F 1 d G 9 S Z W 1 v d m V k Q 2 9 s d W 1 u c z E u e 0 F h b n R h b C B r b 3 J w c 2 V u L D Q 2 f S Z x d W 9 0 O y w m c X V v d D t T Z W N 0 a W 9 u M S 9 L R E E v Q X V 0 b 1 J l b W 9 2 Z W R D b 2 x 1 b W 5 z M S 5 7 T 3 B n Z W d l d m V u I G p l d W d k a 2 9 y c H N l b i B M R y w 0 N 3 0 m c X V v d D s s J n F 1 b 3 Q 7 U 2 V j d G l v b j E v S 0 R B L 0 F 1 d G 9 S Z W 1 v d m V k Q 2 9 s d W 1 u c z E u e 1 R v d G F h b C B h Y W 5 0 Y W w g Z G V l b G 5 l b W V y c y w 0 O H 0 m c X V v d D s s J n F 1 b 3 Q 7 U 2 V j d G l v b j E v S 0 R B L 0 F 1 d G 9 S Z W 1 v d m V k Q 2 9 s d W 1 u c z E u e 1 d h Y X J 2 Y W 4 g Y W F u d G F s I G p l d W d k I C h 0 L 2 0 g M T U g a m F h c i k s N D l 9 J n F 1 b 3 Q 7 L C Z x d W 9 0 O 1 N l Y 3 R p b 2 4 x L 0 t E Q S 9 B d X R v U m V t b 3 Z l Z E N v b H V t b n M x L n t L Y W 5 v b i B l d G M u L D U w f S Z x d W 9 0 O y w m c X V v d D t T Z W N 0 a W 9 u M S 9 L R E E v Q X V 0 b 1 J l b W 9 2 Z W R D b 2 x 1 b W 5 z M S 5 7 U G F h c m R l b i B l b i 9 v Z i B r b 2 V 0 c 2 V u L D U x f S Z x d W 9 0 O y w m c X V v d D t T Z W N 0 a W 9 u M S 9 L R E E v Q X V 0 b 1 J l b W 9 2 Z W R D b 2 x 1 b W 5 z M S 5 7 V G 9 l b G l j a H R p b m c v b 3 B t Z X J r a W 5 n Z W 4 s N T J 9 J n F 1 b 3 Q 7 L C Z x d W 9 0 O 1 N l Y 3 R p b 2 4 x L 0 t E Q S 9 B d X R v U m V t b 3 Z l Z E N v b H V t b n M x L n t J b n p l b m R p b m c t S U Q s N T N 9 J n F 1 b 3 Q 7 L C Z x d W 9 0 O 1 N l Y 3 R p b 2 4 x L 0 t E Q S 9 B d X R v U m V t b 3 Z l Z E N v b H V t b n M x L n t J b n p l b m R k Y X R 1 b S w 1 N H 0 m c X V v d D s s J n F 1 b 3 Q 7 U 2 V j d G l v b j E v S 0 R B L 0 F 1 d G 9 S Z W 1 v d m V k Q 2 9 s d W 1 u c z E u e 0 R h d G U g V X B k Y X R l Z C w 1 N X 0 m c X V v d D s s J n F 1 b 3 Q 7 U 2 V j d G l v b j E v S 0 R B L 0 F 1 d G 9 S Z W 1 v d m V k Q 2 9 s d W 1 u c z E u e 0 5 h Y W 0 g d m F u I G h l d C B o b 2 9 m Z G t v c n B z L D U 2 f S Z x d W 9 0 O y w m c X V v d D t T Z W N 0 a W 9 u M S 9 L R E E v Q X V 0 b 1 J l b W 9 2 Z W R D b 2 x 1 b W 5 z M S 5 7 W m F s I G 9 w I H R y Z W R l b i B h b H M g K G h v b 2 Z k a 2 9 y c H M p L D U 3 f S Z x d W 9 0 O y w m c X V v d D t T Z W N 0 a W 9 u M S 9 L R E E v Q X V 0 b 1 J l b W 9 2 Z W R D b 2 x 1 b W 5 z M S 5 7 V m 9 y b S B 2 Y W 4 g d H d l Z S B t d X p p Z W t 3 Z X J r Z W 4 g K G h v b 2 Z k a 2 9 y c H M p L D U 4 f S Z x d W 9 0 O y w m c X V v d D t T Z W N 0 a W 9 u M S 9 L R E E v Q X V 0 b 1 J l b W 9 2 Z W R D b 2 x 1 b W 5 z M S 5 7 W m F s I H V p d G t v b W V u I G l u I G R l O i A o a G 9 v Z m R r b 3 J w c y k s N T l 9 J n F 1 b 3 Q 7 L C Z x d W 9 0 O 1 N l Y 3 R p b 2 4 x L 0 t E Q S 9 B d X R v U m V t b 3 Z l Z E N v b H V t b n M x L n t N d X p p Z W t 3 Z X J r M S A o a G 9 v Z m R r b 3 J w c y k s N j B 9 J n F 1 b 3 Q 7 L C Z x d W 9 0 O 1 N l Y 3 R p b 2 4 x L 0 t E Q S 9 B d X R v U m V t b 3 Z l Z E N v b H V t b n M x L n t N d X p p Z W t 3 Z X J r M i A o a G 9 v Z m R r b 3 J w c y k s N j F 9 J n F 1 b 3 Q 7 L C Z x d W 9 0 O 1 N l Y 3 R p b 2 4 x L 0 t E Q S 9 B d X R v U m V t b 3 Z l Z E N v b H V t b n M x L n t L b 3 J w c y B i Z X N 0 Y W F 0 I H V p d C A u L i 4 g Z G V l b G 5 l b W V y c y A o a G 9 v Z m R r b 3 J w c y k s N j J 9 J n F 1 b 3 Q 7 L C Z x d W 9 0 O 1 N l Y 3 R p b 2 4 x L 0 t E Q S 9 B d X R v U m V t b 3 Z l Z E N v b H V t b n M x L n t O Y W F t I H Z h b i B o Z X Q g M m U g a 2 9 y c H M s N j N 9 J n F 1 b 3 Q 7 L C Z x d W 9 0 O 1 N l Y 3 R p b 2 4 x L 0 t E Q S 9 B d X R v U m V t b 3 Z l Z E N v b H V t b n M x L n t a Y W w g b 3 A g d H J l Z G V u I G F s c y A o M m U g a 2 9 y c H M p L D Y 0 f S Z x d W 9 0 O y w m c X V v d D t T Z W N 0 a W 9 u M S 9 L R E E v Q X V 0 b 1 J l b W 9 2 Z W R D b 2 x 1 b W 5 z M S 5 7 V m 9 y b S B 2 Y W 4 g d H d l Z S B t d X p p Z W t 3 Z X J r Z W 4 g K D J l I G t v c n B z K S w 2 N X 0 m c X V v d D s s J n F 1 b 3 Q 7 U 2 V j d G l v b j E v S 0 R B L 0 F 1 d G 9 S Z W 1 v d m V k Q 2 9 s d W 1 u c z E u e 1 p h b C B 1 a X R r b 2 1 l b i B p b i B k Z T o g K D J l I G t v c n B z K S w 2 N n 0 m c X V v d D s s J n F 1 b 3 Q 7 U 2 V j d G l v b j E v S 0 R B L 0 F 1 d G 9 S Z W 1 v d m V k Q 2 9 s d W 1 u c z E u e 0 1 1 e m l l a 3 d l c m s x I C g y Z S B r b 3 J w c y k s N j d 9 J n F 1 b 3 Q 7 L C Z x d W 9 0 O 1 N l Y 3 R p b 2 4 x L 0 t E Q S 9 B d X R v U m V t b 3 Z l Z E N v b H V t b n M x L n t N d X p p Z W t 3 Z X J r M i A o M m U g a 2 9 y c H M p L D Y 4 f S Z x d W 9 0 O y w m c X V v d D t T Z W N 0 a W 9 u M S 9 L R E E v Q X V 0 b 1 J l b W 9 2 Z W R D b 2 x 1 b W 5 z M S 5 7 S 2 9 y c H M g Y m V z d G F h d C B 1 a X Q g L i 4 u I G R l Z W x u Z W 1 l c n M g K D J l I G t v c n B z K S w 2 O X 0 m c X V v d D s s J n F 1 b 3 Q 7 U 2 V j d G l v b j E v S 0 R B L 0 F 1 d G 9 S Z W 1 v d m V k Q 2 9 s d W 1 u c z E u e 0 1 l Y 2 h h b m l z Y 2 h l I G 1 1 e m l l a y w 3 M H 0 m c X V v d D s s J n F 1 b 3 Q 7 U 2 V j d G l v b j E v S 0 R B L 0 F 1 d G 9 S Z W 1 v d m V k Q 2 9 s d W 1 u c z E u e 0 9 u Z G V y Z G V s Z W 4 s N z F 9 J n F 1 b 3 Q 7 L C Z x d W 9 0 O 1 N l Y 3 R p b 2 4 x L 0 t E Q S 9 B d X R v U m V t b 3 Z l Z E N v b H V t b n M x L n t T Z W N 0 a W V z L D c y f S Z x d W 9 0 O y w m c X V v d D t T Z W N 0 a W 9 u M S 9 L R E E v Q X V 0 b 1 J l b W 9 2 Z W R D b 2 x 1 b W 5 z M S 5 7 T G V l Z n R p a m R z Y 2 F 0 Z W d v c m l l L D c z f S Z x d W 9 0 O y w m c X V v d D t T Z W N 0 a W 9 u M S 9 L R E E v Q X V 0 b 1 J l b W 9 2 Z W R D b 2 x 1 b W 5 z M S 5 7 Q W F u d G F s I G 9 w Z 2 V n Z X Z l b i B t Y W p v c m V 0 d G V z L D c 0 f S Z x d W 9 0 O 1 0 s J n F 1 b 3 Q 7 Q 2 9 s d W 1 u Q 2 9 1 b n Q m c X V v d D s 6 N z U s J n F 1 b 3 Q 7 S 2 V 5 Q 2 9 s d W 1 u T m F t Z X M m c X V v d D s 6 W 1 0 s J n F 1 b 3 Q 7 Q 2 9 s d W 1 u S W R l b n R p d G l l c y Z x d W 9 0 O z p b J n F 1 b 3 Q 7 U 2 V j d G l v b j E v S 0 R B L 0 F 1 d G 9 S Z W 1 v d m V k Q 2 9 s d W 1 u c z E u e 0 t y a W 5 n Z G F n L D B 9 J n F 1 b 3 Q 7 L C Z x d W 9 0 O 1 N l Y 3 R p b 2 4 x L 0 t E Q S 9 B d X R v U m V t b 3 Z l Z E N v b H V t b n M x L n t W Z X I u b n I s M X 0 m c X V v d D s s J n F 1 b 3 Q 7 U 2 V j d G l v b j E v S 0 R B L 0 F 1 d G 9 S Z W 1 v d m V k Q 2 9 s d W 1 u c z E u e 0 5 h Y W 0 g d m V y Z W 5 p Z 2 l u Z y w y f S Z x d W 9 0 O y w m c X V v d D t T Z W N 0 a W 9 u M S 9 L R E E v Q X V 0 b 1 J l b W 9 2 Z W R D b 2 x 1 b W 5 z M S 5 7 R G V s Z W d h d G l l L D N 9 J n F 1 b 3 Q 7 L C Z x d W 9 0 O 1 N l Y 3 R p b 2 4 x L 0 t E Q S 9 B d X R v U m V t b 3 Z l Z E N v b H V t b n M x L n t N d X p p Z W t r b 3 J w c y B i a W o g b W F y c y B l b i B k Z W Z p b F x 1 M D B F O S w 0 f S Z x d W 9 0 O y w m c X V v d D t T Z W N 0 a W 9 u M S 9 L R E E v Q X V 0 b 1 J l b W 9 2 Z W R D b 2 x 1 b W 5 z M S 5 7 R G V l b G 4 u I G p l d W d k a 2 9 u a W 5 n c 2 N o a W V 0 Z W 4 s N X 0 m c X V v d D s s J n F 1 b 3 Q 7 U 2 V j d G l v b j E v S 0 R B L 0 F 1 d G 9 S Z W 1 v d m V k Q 2 9 s d W 1 u c z E u e 0 1 h a i 4 g U 2 V u a W 9 y Z W 4 g a n V y Z X J l b i B i a W o g b W F y c y w 2 f S Z x d W 9 0 O y w m c X V v d D t T Z W N 0 a W 9 u M S 9 L R E E v Q X V 0 b 1 J l b W 9 2 Z W R D b 2 x 1 b W 5 z M S 5 7 T W F q L i B K Z X V n Z C B q d X J l c m V u I G J p a i B t Y X J z L D d 9 J n F 1 b 3 Q 7 L C Z x d W 9 0 O 1 N l Y 3 R p b 2 4 x L 0 t E Q S 9 B d X R v U m V t b 3 Z l Z E N v b H V t b n M x L n t L b 3 J w c y B z Z W 5 p b 3 J l b i w 4 f S Z x d W 9 0 O y w m c X V v d D t T Z W N 0 a W 9 u M S 9 L R E E v Q X V 0 b 1 J l b W 9 2 Z W R D b 2 x 1 b W 5 z M S 5 7 S n V u a W 9 y Z W 4 g a 2 9 y c H M g M S w 5 f S Z x d W 9 0 O y w m c X V v d D t T Z W N 0 a W 9 u M S 9 L R E E v Q X V 0 b 1 J l b W 9 2 Z W R D b 2 x 1 b W 5 z M S 5 7 S n V u a W 9 y Z W 4 g a 2 9 y c H M g M i w x M H 0 m c X V v d D s s J n F 1 b 3 Q 7 U 2 V j d G l v b j E v S 0 R B L 0 F 1 d G 9 S Z W 1 v d m V k Q 2 9 s d W 1 u c z E u e 0 F z c G l y Y W 5 0 Z W 4 g a 2 9 y c H M g M S w x M X 0 m c X V v d D s s J n F 1 b 3 Q 7 U 2 V j d G l v b j E v S 0 R B L 0 F 1 d G 9 S Z W 1 v d m V k Q 2 9 s d W 1 u c z E u e 0 F z c G l y Y W 5 0 Z W 4 g a 2 9 y c H M g M i w x M n 0 m c X V v d D s s J n F 1 b 3 Q 7 U 2 V j d G l v b j E v S 0 R B L 0 F 1 d G 9 S Z W 1 v d m V k Q 2 9 s d W 1 u c z E u e 0 F j c m 9 i Y X R p c 2 N o I H N l b m l v c m V u L D E z f S Z x d W 9 0 O y w m c X V v d D t T Z W N 0 a W 9 u M S 9 L R E E v Q X V 0 b 1 J l b W 9 2 Z W R D b 2 x 1 b W 5 z M S 5 7 Q W N y b 2 J h d G l z Y 2 g g a n V u a W 9 y Z W 4 s M T R 9 J n F 1 b 3 Q 7 L C Z x d W 9 0 O 1 N l Y 3 R p b 2 4 x L 0 t E Q S 9 B d X R v U m V t b 3 Z l Z E N v b H V t b n M x L n t B Y 3 J v Y m F 0 a X N j a C B h c 3 B p c m F u d G V u L D E 1 f S Z x d W 9 0 O y w m c X V v d D t T Z W N 0 a W 9 u M S 9 L R E E v Q X V 0 b 1 J l b W 9 2 Z W R D b 2 x 1 b W 5 z M S 5 7 U 2 h v d y B z Z W 5 p b 3 J l b i w x N n 0 m c X V v d D s s J n F 1 b 3 Q 7 U 2 V j d G l v b j E v S 0 R B L 0 F 1 d G 9 S Z W 1 v d m V k Q 2 9 s d W 1 u c z E u e 1 N o b 3 c g a n V u a W 9 y Z W 4 s M T d 9 J n F 1 b 3 Q 7 L C Z x d W 9 0 O 1 N l Y 3 R p b 2 4 x L 0 t E Q S 9 B d X R v U m V t b 3 Z l Z E N v b H V t b n M x L n t T a G 9 3 I G F z c G l y Y W 5 0 Z W 4 s M T h 9 J n F 1 b 3 Q 7 L C Z x d W 9 0 O 1 N l Y 3 R p b 2 4 x L 0 t E Q S 9 B d X R v U m V t b 3 Z l Z E N v b H V t b n M x L n t T Z W 5 p b 3 J l b i B p b m R p d i 4 s M T l 9 J n F 1 b 3 Q 7 L C Z x d W 9 0 O 1 N l Y 3 R p b 2 4 x L 0 t E Q S 9 B d X R v U m V t b 3 Z l Z E N v b H V t b n M x L n t K d W 5 p b 3 J l b i B p b m R p d i 4 s M j B 9 J n F 1 b 3 Q 7 L C Z x d W 9 0 O 1 N l Y 3 R p b 2 4 x L 0 t E Q S 9 B d X R v U m V t b 3 Z l Z E N v b H V t b n M x L n t B c 3 B p c m F u d G V u I G l u Z G l 2 L i w y M X 0 m c X V v d D s s J n F 1 b 3 Q 7 U 2 V j d G l v b j E v S 0 R B L 0 F 1 d G 9 S Z W 1 v d m V k Q 2 9 s d W 1 u c z E u e 1 N l b i 4 g a W 5 k I G 9 w Z 2 V n Z X Z l b i B u Y W 1 l b i w y M n 0 m c X V v d D s s J n F 1 b 3 Q 7 U 2 V j d G l v b j E v S 0 R B L 0 F 1 d G 9 S Z W 1 v d m V k Q 2 9 s d W 1 u c z E u e 0 p 1 b i 4 g a W 5 k I G 9 w Z 2 V n Z X Z l b i B u Y W 1 l b i w y M 3 0 m c X V v d D s s J n F 1 b 3 Q 7 U 2 V j d G l v b j E v S 0 R B L 0 F 1 d G 9 S Z W 1 v d m V k Q 2 9 s d W 1 u c z E u e 0 F z c C 4 g a W 5 k I G 9 w Z 2 V n Z X Z l b i B u Y W 1 l b i w y N H 0 m c X V v d D s s J n F 1 b 3 Q 7 U 2 V j d G l v b j E v S 0 R B L 0 F 1 d G 9 S Z W 1 v d m V k Q 2 9 s d W 1 u c z E u e 0 h v b 2 Z k a 2 9 y c H M s M j V 9 J n F 1 b 3 Q 7 L C Z x d W 9 0 O 1 N l Y 3 R p b 2 4 x L 0 t E Q S 9 B d X R v U m V t b 3 Z l Z E N v b H V t b n M x L n s y Z S B r b 3 J w c y w y N n 0 m c X V v d D s s J n F 1 b 3 Q 7 U 2 V j d G l v b j E v S 0 R B L 0 F 1 d G 9 S Z W 1 v d m V k Q 2 9 s d W 1 u c z E u e 0 d y b 2 V w Z W 4 s I H R l Y W 1 z L C B l b n N l b W J s Z X M g Z W 4 g Z H V v X H U w M D I 3 c y w y N 3 0 m c X V v d D s s J n F 1 b 3 Q 7 U 2 V j d G l v b j E v S 0 R B L 0 F 1 d G 9 S Z W 1 v d m V k Q 2 9 s d W 1 u c z E u e 1 N l b m l v c m V u L D I 4 f S Z x d W 9 0 O y w m c X V v d D t T Z W N 0 a W 9 u M S 9 L R E E v Q X V 0 b 1 J l b W 9 2 Z W R D b 2 x 1 b W 5 z M S 5 7 S m 9 u Z y B 2 b 2 x 3 Y X N z Z W 5 l L D I 5 f S Z x d W 9 0 O y w m c X V v d D t T Z W N 0 a W 9 u M S 9 L R E E v Q X V 0 b 1 J l b W 9 2 Z W R D b 2 x 1 b W 5 z M S 5 7 S n V u a W 9 y Z W 4 s M z B 9 J n F 1 b 3 Q 7 L C Z x d W 9 0 O 1 N l Y 3 R p b 2 4 x L 0 t E Q S 9 B d X R v U m V t b 3 Z l Z E N v b H V t b n M x L n t B c 3 B p c m F u d G V u L D M x f S Z x d W 9 0 O y w m c X V v d D t T Z W N 0 a W 9 u M S 9 L R E E v Q X V 0 b 1 J l b W 9 2 Z W R D b 2 x 1 b W 5 z M S 5 7 T 3 B n Z W d l d m V u I H N l b m l v c m V u L D M y f S Z x d W 9 0 O y w m c X V v d D t T Z W N 0 a W 9 u M S 9 L R E E v Q X V 0 b 1 J l b W 9 2 Z W R D b 2 x 1 b W 5 z M S 5 7 T 3 B n Z W d l d m V u I G p v b m c g d m 9 s d 2 F z c 2 V u Z S w z M 3 0 m c X V v d D s s J n F 1 b 3 Q 7 U 2 V j d G l v b j E v S 0 R B L 0 F 1 d G 9 S Z W 1 v d m V k Q 2 9 s d W 1 u c z E u e 0 9 w Z 2 V n Z X Z l b i B q d W 5 p b 3 J l b i w z N H 0 m c X V v d D s s J n F 1 b 3 Q 7 U 2 V j d G l v b j E v S 0 R B L 0 F 1 d G 9 S Z W 1 v d m V k Q 2 9 s d W 1 u c z E u e 0 9 w Z 2 V n Z X Z l b i B h c 3 B p c m F u d G V u L D M 1 f S Z x d W 9 0 O y w m c X V v d D t T Z W N 0 a W 9 u M S 9 L R E E v Q X V 0 b 1 J l b W 9 2 Z W R D b 2 x 1 b W 5 z M S 5 7 T W F y a 2 V 0 Z W 5 0 c 3 R l c n M s M z Z 9 J n F 1 b 3 Q 7 L C Z x d W 9 0 O 1 N l Y 3 R p b 2 4 x L 0 t E Q S 9 B d X R v U m V t b 3 Z l Z E N v b H V t b n M x L n t M d W N o d G d l d 2 V l c i w z N 3 0 m c X V v d D s s J n F 1 b 3 Q 7 U 2 V j d G l v b j E v S 0 R B L 0 F 1 d G 9 S Z W 1 v d m V k Q 2 9 s d W 1 u c z E u e 0 F h b n R h b C B s d W N o d G d l d 2 V l c n N j a H V 0 d G V y c y w z O H 0 m c X V v d D s s J n F 1 b 3 Q 7 U 2 V j d G l v b j E v S 0 R B L 0 F 1 d G 9 S Z W 1 v d m V k Q 2 9 s d W 1 u c z E u e 0 x 1 Y 2 h 0 c G l z d G 9 v b C w z O X 0 m c X V v d D s s J n F 1 b 3 Q 7 U 2 V j d G l v b j E v S 0 R B L 0 F 1 d G 9 S Z W 1 v d m V k Q 2 9 s d W 1 u c z E u e 0 F h b n R h b C B s d W N o d H B p c 3 R v b 2 x z Y 2 h 1 d H R l c n M s N D B 9 J n F 1 b 3 Q 7 L C Z x d W 9 0 O 1 N l Y 3 R p b 2 4 x L 0 t E Q S 9 B d X R v U m V t b 3 Z l Z E N v b H V t b n M x L n t I Y W 5 k Y m 9 v Z y w 0 M X 0 m c X V v d D s s J n F 1 b 3 Q 7 U 2 V j d G l v b j E v S 0 R B L 0 F 1 d G 9 S Z W 1 v d m V k Q 2 9 s d W 1 u c z E u e 0 F h b n R h b C B o Y W 5 k Y m 9 v Z 3 N j a H V 0 d G V y c y w 0 M n 0 m c X V v d D s s J n F 1 b 3 Q 7 U 2 V j d G l v b j E v S 0 R B L 0 F 1 d G 9 S Z W 1 v d m V k Q 2 9 s d W 1 u c z E u e 0 t y d W l z Y m 9 v Z y w 0 M 3 0 m c X V v d D s s J n F 1 b 3 Q 7 U 2 V j d G l v b j E v S 0 R B L 0 F 1 d G 9 S Z W 1 v d m V k Q 2 9 s d W 1 u c z E u e 0 F h b n R h b C B r c n V p c 2 J v b 2 d z Y 2 h 1 d H R l c n M s N D R 9 J n F 1 b 3 Q 7 L C Z x d W 9 0 O 1 N l Y 3 R p b 2 4 x L 0 t E Q S 9 B d X R v U m V t b 3 Z l Z E N v b H V t b n M x L n t M d W N o d G d l d 2 V l c i B q Z X V n Z C B u a W V 0 I G 9 1 Z G V y I G R h b i A x N y B q Y W F y L i w 0 N X 0 m c X V v d D s s J n F 1 b 3 Q 7 U 2 V j d G l v b j E v S 0 R B L 0 F 1 d G 9 S Z W 1 v d m V k Q 2 9 s d W 1 u c z E u e 0 F h b n R h b C B r b 3 J w c 2 V u L D Q 2 f S Z x d W 9 0 O y w m c X V v d D t T Z W N 0 a W 9 u M S 9 L R E E v Q X V 0 b 1 J l b W 9 2 Z W R D b 2 x 1 b W 5 z M S 5 7 T 3 B n Z W d l d m V u I G p l d W d k a 2 9 y c H N l b i B M R y w 0 N 3 0 m c X V v d D s s J n F 1 b 3 Q 7 U 2 V j d G l v b j E v S 0 R B L 0 F 1 d G 9 S Z W 1 v d m V k Q 2 9 s d W 1 u c z E u e 1 R v d G F h b C B h Y W 5 0 Y W w g Z G V l b G 5 l b W V y c y w 0 O H 0 m c X V v d D s s J n F 1 b 3 Q 7 U 2 V j d G l v b j E v S 0 R B L 0 F 1 d G 9 S Z W 1 v d m V k Q 2 9 s d W 1 u c z E u e 1 d h Y X J 2 Y W 4 g Y W F u d G F s I G p l d W d k I C h 0 L 2 0 g M T U g a m F h c i k s N D l 9 J n F 1 b 3 Q 7 L C Z x d W 9 0 O 1 N l Y 3 R p b 2 4 x L 0 t E Q S 9 B d X R v U m V t b 3 Z l Z E N v b H V t b n M x L n t L Y W 5 v b i B l d G M u L D U w f S Z x d W 9 0 O y w m c X V v d D t T Z W N 0 a W 9 u M S 9 L R E E v Q X V 0 b 1 J l b W 9 2 Z W R D b 2 x 1 b W 5 z M S 5 7 U G F h c m R l b i B l b i 9 v Z i B r b 2 V 0 c 2 V u L D U x f S Z x d W 9 0 O y w m c X V v d D t T Z W N 0 a W 9 u M S 9 L R E E v Q X V 0 b 1 J l b W 9 2 Z W R D b 2 x 1 b W 5 z M S 5 7 V G 9 l b G l j a H R p b m c v b 3 B t Z X J r a W 5 n Z W 4 s N T J 9 J n F 1 b 3 Q 7 L C Z x d W 9 0 O 1 N l Y 3 R p b 2 4 x L 0 t E Q S 9 B d X R v U m V t b 3 Z l Z E N v b H V t b n M x L n t J b n p l b m R p b m c t S U Q s N T N 9 J n F 1 b 3 Q 7 L C Z x d W 9 0 O 1 N l Y 3 R p b 2 4 x L 0 t E Q S 9 B d X R v U m V t b 3 Z l Z E N v b H V t b n M x L n t J b n p l b m R k Y X R 1 b S w 1 N H 0 m c X V v d D s s J n F 1 b 3 Q 7 U 2 V j d G l v b j E v S 0 R B L 0 F 1 d G 9 S Z W 1 v d m V k Q 2 9 s d W 1 u c z E u e 0 R h d G U g V X B k Y X R l Z C w 1 N X 0 m c X V v d D s s J n F 1 b 3 Q 7 U 2 V j d G l v b j E v S 0 R B L 0 F 1 d G 9 S Z W 1 v d m V k Q 2 9 s d W 1 u c z E u e 0 5 h Y W 0 g d m F u I G h l d C B o b 2 9 m Z G t v c n B z L D U 2 f S Z x d W 9 0 O y w m c X V v d D t T Z W N 0 a W 9 u M S 9 L R E E v Q X V 0 b 1 J l b W 9 2 Z W R D b 2 x 1 b W 5 z M S 5 7 W m F s I G 9 w I H R y Z W R l b i B h b H M g K G h v b 2 Z k a 2 9 y c H M p L D U 3 f S Z x d W 9 0 O y w m c X V v d D t T Z W N 0 a W 9 u M S 9 L R E E v Q X V 0 b 1 J l b W 9 2 Z W R D b 2 x 1 b W 5 z M S 5 7 V m 9 y b S B 2 Y W 4 g d H d l Z S B t d X p p Z W t 3 Z X J r Z W 4 g K G h v b 2 Z k a 2 9 y c H M p L D U 4 f S Z x d W 9 0 O y w m c X V v d D t T Z W N 0 a W 9 u M S 9 L R E E v Q X V 0 b 1 J l b W 9 2 Z W R D b 2 x 1 b W 5 z M S 5 7 W m F s I H V p d G t v b W V u I G l u I G R l O i A o a G 9 v Z m R r b 3 J w c y k s N T l 9 J n F 1 b 3 Q 7 L C Z x d W 9 0 O 1 N l Y 3 R p b 2 4 x L 0 t E Q S 9 B d X R v U m V t b 3 Z l Z E N v b H V t b n M x L n t N d X p p Z W t 3 Z X J r M S A o a G 9 v Z m R r b 3 J w c y k s N j B 9 J n F 1 b 3 Q 7 L C Z x d W 9 0 O 1 N l Y 3 R p b 2 4 x L 0 t E Q S 9 B d X R v U m V t b 3 Z l Z E N v b H V t b n M x L n t N d X p p Z W t 3 Z X J r M i A o a G 9 v Z m R r b 3 J w c y k s N j F 9 J n F 1 b 3 Q 7 L C Z x d W 9 0 O 1 N l Y 3 R p b 2 4 x L 0 t E Q S 9 B d X R v U m V t b 3 Z l Z E N v b H V t b n M x L n t L b 3 J w c y B i Z X N 0 Y W F 0 I H V p d C A u L i 4 g Z G V l b G 5 l b W V y c y A o a G 9 v Z m R r b 3 J w c y k s N j J 9 J n F 1 b 3 Q 7 L C Z x d W 9 0 O 1 N l Y 3 R p b 2 4 x L 0 t E Q S 9 B d X R v U m V t b 3 Z l Z E N v b H V t b n M x L n t O Y W F t I H Z h b i B o Z X Q g M m U g a 2 9 y c H M s N j N 9 J n F 1 b 3 Q 7 L C Z x d W 9 0 O 1 N l Y 3 R p b 2 4 x L 0 t E Q S 9 B d X R v U m V t b 3 Z l Z E N v b H V t b n M x L n t a Y W w g b 3 A g d H J l Z G V u I G F s c y A o M m U g a 2 9 y c H M p L D Y 0 f S Z x d W 9 0 O y w m c X V v d D t T Z W N 0 a W 9 u M S 9 L R E E v Q X V 0 b 1 J l b W 9 2 Z W R D b 2 x 1 b W 5 z M S 5 7 V m 9 y b S B 2 Y W 4 g d H d l Z S B t d X p p Z W t 3 Z X J r Z W 4 g K D J l I G t v c n B z K S w 2 N X 0 m c X V v d D s s J n F 1 b 3 Q 7 U 2 V j d G l v b j E v S 0 R B L 0 F 1 d G 9 S Z W 1 v d m V k Q 2 9 s d W 1 u c z E u e 1 p h b C B 1 a X R r b 2 1 l b i B p b i B k Z T o g K D J l I G t v c n B z K S w 2 N n 0 m c X V v d D s s J n F 1 b 3 Q 7 U 2 V j d G l v b j E v S 0 R B L 0 F 1 d G 9 S Z W 1 v d m V k Q 2 9 s d W 1 u c z E u e 0 1 1 e m l l a 3 d l c m s x I C g y Z S B r b 3 J w c y k s N j d 9 J n F 1 b 3 Q 7 L C Z x d W 9 0 O 1 N l Y 3 R p b 2 4 x L 0 t E Q S 9 B d X R v U m V t b 3 Z l Z E N v b H V t b n M x L n t N d X p p Z W t 3 Z X J r M i A o M m U g a 2 9 y c H M p L D Y 4 f S Z x d W 9 0 O y w m c X V v d D t T Z W N 0 a W 9 u M S 9 L R E E v Q X V 0 b 1 J l b W 9 2 Z W R D b 2 x 1 b W 5 z M S 5 7 S 2 9 y c H M g Y m V z d G F h d C B 1 a X Q g L i 4 u I G R l Z W x u Z W 1 l c n M g K D J l I G t v c n B z K S w 2 O X 0 m c X V v d D s s J n F 1 b 3 Q 7 U 2 V j d G l v b j E v S 0 R B L 0 F 1 d G 9 S Z W 1 v d m V k Q 2 9 s d W 1 u c z E u e 0 1 l Y 2 h h b m l z Y 2 h l I G 1 1 e m l l a y w 3 M H 0 m c X V v d D s s J n F 1 b 3 Q 7 U 2 V j d G l v b j E v S 0 R B L 0 F 1 d G 9 S Z W 1 v d m V k Q 2 9 s d W 1 u c z E u e 0 9 u Z G V y Z G V s Z W 4 s N z F 9 J n F 1 b 3 Q 7 L C Z x d W 9 0 O 1 N l Y 3 R p b 2 4 x L 0 t E Q S 9 B d X R v U m V t b 3 Z l Z E N v b H V t b n M x L n t T Z W N 0 a W V z L D c y f S Z x d W 9 0 O y w m c X V v d D t T Z W N 0 a W 9 u M S 9 L R E E v Q X V 0 b 1 J l b W 9 2 Z W R D b 2 x 1 b W 5 z M S 5 7 T G V l Z n R p a m R z Y 2 F 0 Z W d v c m l l L D c z f S Z x d W 9 0 O y w m c X V v d D t T Z W N 0 a W 9 u M S 9 L R E E v Q X V 0 b 1 J l b W 9 2 Z W R D b 2 x 1 b W 5 z M S 5 7 Q W F u d G F s I G 9 w Z 2 V n Z X Z l b i B t Y W p v c m V 0 d G V z L D c 0 f S Z x d W 9 0 O 1 0 s J n F 1 b 3 Q 7 U m V s Y X R p b 2 5 z a G l w S W 5 m b y Z x d W 9 0 O z p b X X 0 i I C 8 + P C 9 T d G F i b G V F b n R y a W V z P j w v S X R l b T 4 8 S X R l b T 4 8 S X R l b U x v Y 2 F 0 a W 9 u P j x J d G V t V H l w Z T 5 G b 3 J t d W x h P C 9 J d G V t V H l w Z T 4 8 S X R l b V B h d G g + U 2 V j d G l v b j E v S 0 R S d k 5 C P C 9 J d G V t U G F 0 a D 4 8 L 0 l 0 Z W 1 M b 2 N h d G l v b j 4 8 U 3 R h Y m x l R W 5 0 c m l l c z 4 8 R W 5 0 c n k g V H l w Z T 0 i T m F 2 a W d h d G l v b l N 0 Z X B O Y W 1 l I i B W Y W x 1 Z T 0 i c 0 5 h d m l n Y X R p Z 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z c 4 N j d j O T E z L W V k Y 2 Y t N D k y O S 0 5 O G Z j L W E w M j A 0 Z W Q z N j l h Z S I g L z 4 8 R W 5 0 c n k g V H l w Z T 0 i T m F t Z V V w Z G F 0 Z W R B Z n R l c k Z p b G w i I F Z h b H V l P S J s M C I g L z 4 8 R W 5 0 c n k g V H l w Z T 0 i Q n V m Z m V y T m V 4 d F J l Z n J l c 2 g i I F Z h b H V l P S J s M S I g L z 4 8 R W 5 0 c n k g V H l w Z T 0 i R m l s b E 9 i a m V j d F R 5 c G U i I F Z h b H V l P S J z V G F i b G U i I C 8 + P E V u d H J 5 I F R 5 c G U 9 I l J l c 3 V s d F R 5 c G U i I F Z h b H V l P S J z V G F i b G U i I C 8 + P E V u d H J 5 I F R 5 c G U 9 I k x v Y W R l Z F R v Q W 5 h b H l z a X N T Z X J 2 a W N l c y I g V m F s d W U 9 I m w w I i A v P j x F b n R y e S B U e X B l P S J S Z W N v d m V y e V R h c m d l d F J v d y I g V m F s d W U 9 I m w 2 I i A v P j x F b n R y e S B U e X B l P S J S Z W N v d m V y e V R h c m d l d E N v b H V t b i I g V m F s d W U 9 I m w x I i A v P j x F b n R y e S B U e X B l P S J S Z W N v d m V y e V R h c m d l d F N o Z W V 0 I i B W Y W x 1 Z T 0 i c 0 t E U n Z O Q i I g L z 4 8 R W 5 0 c n k g V H l w Z T 0 i R m l s b F R h c m d l d C I g V m F s d W U 9 I n N L R F J 2 T k I i I C 8 + P E V u d H J 5 I F R 5 c G U 9 I k x v Y W R U b 1 J l c G 9 y d E R p c 2 F i b G V k I i B W Y W x 1 Z T 0 i b D A i I C 8 + P E V u d H J 5 I F R 5 c G U 9 I k Z p b G x M Y X N 0 V X B k Y X R l Z C I g V m F s d W U 9 I m Q y M D I 0 L T E y L T I x V D E y O j Q y O j Q 0 L j k 1 M z g x M T B a I i A v P j x F b n R y e S B U e X B l P S J G a W x s R X J y b 3 J D b 3 V u d C I g V m F s d W U 9 I m w w I i A v P j x F b n R y e S B U e X B l P S J G a W x s Q 2 9 s d W 1 u V H l w Z X M i I F Z h b H V l P S J z Q m d Z R 0 J n W U d C Z 1 l E Q X d N R E F 3 T U R B d 1 l H Q m d N R E F 3 T U R B d 1 l H Q X d N R E F 3 T U R B d 0 1 E Q m d Z R E J n T U d B d 1 l E Q m d N R E F 3 T U d C Z 1 l E Q n d j R 0 J n W U d C Z 1 l E Q m d Z R 0 J n W U d B d 1 l H Q m d Z R C I g L z 4 8 R W 5 0 c n k g V H l w Z T 0 i R m l s b E V y c m 9 y Q 2 9 k Z S I g V m F s d W U 9 I n N V b m t u b 3 d u I i A v P j x F b n R y e S B U e X B l P S J G a W x s Q 2 9 s d W 1 u T m F t Z X M i I F Z h b H V l P S J z W y Z x d W 9 0 O 0 t y a W 5 n Z G F n J n F 1 b 3 Q 7 L C Z x d W 9 0 O 1 Z l c i 5 u c i Z x d W 9 0 O y w m c X V v d D t O Y W F t I H Z l c m V u a W d p b m c m c X V v d D s s J n F 1 b 3 Q 7 R G V s Z W d h d G l l J n F 1 b 3 Q 7 L C Z x d W 9 0 O 0 1 1 e m l l a 2 t v c n B z I G J p a i B t Y X J z I G V u I G R l Z m l s X H U w M E U 5 J n F 1 b 3 Q 7 L C Z x d W 9 0 O 0 R l Z W x u L i B q Z X V n Z G t v b m l u Z 3 N j a G l l d G V u J n F 1 b 3 Q 7 L C Z x d W 9 0 O 0 1 h a i 4 g U 2 V u a W 9 y Z W 4 g a n V y Z X J l b i B i a W o g b W F y c y Z x d W 9 0 O y w m c X V v d D t N Y W o u I E p l d W d k I G p 1 c m V y Z W 4 g Y m l q I G 1 h c n M m c X V v d D s s J n F 1 b 3 Q 7 S 2 9 y c H M g c 2 V u a W 9 y Z W 4 m c X V v d D s s J n F 1 b 3 Q 7 S n V u a W 9 y Z W 4 g a 2 9 y c H M g M S Z x d W 9 0 O y w m c X V v d D t K d W 5 p b 3 J l b i B r b 3 J w c y A y J n F 1 b 3 Q 7 L C Z x d W 9 0 O 0 F z c G l y Y W 5 0 Z W 4 g a 2 9 y c H M g M S Z x d W 9 0 O y w m c X V v d D t B c 3 B p c m F u d G V u I G t v c n B z I D I m c X V v d D s s J n F 1 b 3 Q 7 Q W N y b 2 J h d G l z Y 2 g g c 2 V u a W 9 y Z W 4 m c X V v d D s s J n F 1 b 3 Q 7 Q W N y b 2 J h d G l z Y 2 g g a n V u a W 9 y Z W 4 m c X V v d D s s J n F 1 b 3 Q 7 Q W N y b 2 J h d G l z Y 2 g g Y X N w a X J h b n R l b i Z x d W 9 0 O y w m c X V v d D t T a G 9 3 I H N l b m l v c m V u J n F 1 b 3 Q 7 L C Z x d W 9 0 O 1 N o b 3 c g a n V u a W 9 y Z W 4 m c X V v d D s s J n F 1 b 3 Q 7 U 2 h v d y B h c 3 B p c m F u d G V u J n F 1 b 3 Q 7 L C Z x d W 9 0 O 1 N l b m l v c m V u I G l u Z G l 2 L i Z x d W 9 0 O y w m c X V v d D t K d W 5 p b 3 J l b i B p b m R p d i 4 m c X V v d D s s J n F 1 b 3 Q 7 Q X N w a X J h b n R l b i B p b m R p d i 4 m c X V v d D s s J n F 1 b 3 Q 7 U 2 V u L i B p b m Q g b 3 B n Z W d l d m V u I G 5 h b W V u J n F 1 b 3 Q 7 L C Z x d W 9 0 O 0 p 1 b i 4 g a W 5 k I G 9 w Z 2 V n Z X Z l b i B u Y W 1 l b i Z x d W 9 0 O y w m c X V v d D t B c 3 A u I G l u Z C B v c G d l Z 2 V 2 Z W 4 g b m F t Z W 4 m c X V v d D s s J n F 1 b 3 Q 7 S G 9 v Z m R r b 3 J w c y Z x d W 9 0 O y w m c X V v d D s y Z S B r b 3 J w c y Z x d W 9 0 O y w m c X V v d D t H c m 9 l c G V u L C B 0 Z W F t c y w g Z W 5 z Z W 1 i b G V z I G V u I G R 1 b 1 x 1 M D A y N 3 M m c X V v d D s s J n F 1 b 3 Q 7 U 2 V u a W 9 y Z W 4 m c X V v d D s s J n F 1 b 3 Q 7 S m 9 u Z y B 2 b 2 x 3 Y X N z Z W 5 l J n F 1 b 3 Q 7 L C Z x d W 9 0 O 0 p 1 b m l v c m V u J n F 1 b 3 Q 7 L C Z x d W 9 0 O 0 F z c G l y Y W 5 0 Z W 4 m c X V v d D s s J n F 1 b 3 Q 7 T 3 B n Z W d l d m V u I H N l b m l v c m V u J n F 1 b 3 Q 7 L C Z x d W 9 0 O 0 9 w Z 2 V n Z X Z l b i B q b 2 5 n I H Z v b H d h c 3 N l b m U m c X V v d D s s J n F 1 b 3 Q 7 T 3 B n Z W d l d m V u I G p 1 b m l v c m V u J n F 1 b 3 Q 7 L C Z x d W 9 0 O 0 9 w Z 2 V n Z X Z l b i B h c 3 B p c m F u d G V u J n F 1 b 3 Q 7 L C Z x d W 9 0 O 0 1 h c m t l d G V u d H N 0 Z X J z J n F 1 b 3 Q 7 L C Z x d W 9 0 O 0 x 1 Y 2 h 0 Z 2 V 3 Z W V y J n F 1 b 3 Q 7 L C Z x d W 9 0 O 0 F h b n R h b C B s d W N o d G d l d 2 V l c n N j a H V 0 d G V y c y Z x d W 9 0 O y w m c X V v d D t M d W N o d H B p c 3 R v b 2 w m c X V v d D s s J n F 1 b 3 Q 7 Q W F u d G F s I G x 1 Y 2 h 0 c G l z d G 9 v b H N j a H V 0 d G V y c y Z x d W 9 0 O y w m c X V v d D t I Y W 5 k Y m 9 v Z y Z x d W 9 0 O y w m c X V v d D t B Y W 5 0 Y W w g a G F u Z G J v b 2 d z Y 2 h 1 d H R l c n M m c X V v d D s s J n F 1 b 3 Q 7 S 3 J 1 a X N i b 2 9 n J n F 1 b 3 Q 7 L C Z x d W 9 0 O 0 F h b n R h b C B r c n V p c 2 J v b 2 d z Y 2 h 1 d H R l c n M m c X V v d D s s J n F 1 b 3 Q 7 T H V j a H R n Z X d l Z X I g a m V 1 Z 2 Q g b m l l d C B v d W R l c i B k Y W 4 g M T c g a m F h c i 4 m c X V v d D s s J n F 1 b 3 Q 7 Q W F u d G F s I G t v c n B z Z W 4 m c X V v d D s s J n F 1 b 3 Q 7 T 3 B n Z W d l d m V u I G p l d W d k a 2 9 y c H N l b i B M R y Z x d W 9 0 O y w m c X V v d D t U b 3 R h Y W w g Y W F u d G F s I G R l Z W x u Z W 1 l c n M m c X V v d D s s J n F 1 b 3 Q 7 V 2 F h c n Z h b i B h Y W 5 0 Y W w g a m V 1 Z 2 Q g K H Q v b S A x N S B q Y W F y K S Z x d W 9 0 O y w m c X V v d D t L Y W 5 v b i B l d G M u J n F 1 b 3 Q 7 L C Z x d W 9 0 O 1 B h Y X J k Z W 4 g Z W 4 v b 2 Y g a 2 9 l d H N l b i Z x d W 9 0 O y w m c X V v d D t U b 2 V s a W N o d G l u Z y 9 v c G 1 l c m t p b m d l b i Z x d W 9 0 O y w m c X V v d D t J b n p l b m R p b m c t S U Q m c X V v d D s s J n F 1 b 3 Q 7 S W 5 6 Z W 5 k Z G F 0 d W 0 m c X V v d D s s J n F 1 b 3 Q 7 R G F 0 Z S B V c G R h d G V k J n F 1 b 3 Q 7 L C Z x d W 9 0 O 0 5 h Y W 0 g d m F u I G h l d C B o b 2 9 m Z G t v c n B z J n F 1 b 3 Q 7 L C Z x d W 9 0 O 1 p h b C B v c C B 0 c m V k Z W 4 g Y W x z I C h o b 2 9 m Z G t v c n B z K S Z x d W 9 0 O y w m c X V v d D t W b 3 J t I H Z h b i B 0 d 2 V l I G 1 1 e m l l a 3 d l c m t l b i A o a G 9 v Z m R r b 3 J w c y k m c X V v d D s s J n F 1 b 3 Q 7 W m F s I H V p d G t v b W V u I G l u I G R l O i A o a G 9 v Z m R r b 3 J w c y k m c X V v d D s s J n F 1 b 3 Q 7 T X V 6 a W V r d 2 V y a z E g K G h v b 2 Z k a 2 9 y c H M p J n F 1 b 3 Q 7 L C Z x d W 9 0 O 0 1 1 e m l l a 3 d l c m s y I C h o b 2 9 m Z G t v c n B z K S Z x d W 9 0 O y w m c X V v d D t L b 3 J w c y B i Z X N 0 Y W F 0 I H V p d C A u L i 4 g Z G V l b G 5 l b W V y c y A o a G 9 v Z m R r b 3 J w c y k m c X V v d D s s J n F 1 b 3 Q 7 T m F h b S B 2 Y W 4 g a G V 0 I D J l I G t v c n B z J n F 1 b 3 Q 7 L C Z x d W 9 0 O 1 p h b C B v c C B 0 c m V k Z W 4 g Y W x z I C g y Z S B r b 3 J w c y k m c X V v d D s s J n F 1 b 3 Q 7 V m 9 y b S B 2 Y W 4 g d H d l Z S B t d X p p Z W t 3 Z X J r Z W 4 g K D J l I G t v c n B z K S Z x d W 9 0 O y w m c X V v d D t a Y W w g d W l 0 a 2 9 t Z W 4 g a W 4 g Z G U 6 I C g y Z S B r b 3 J w c y k m c X V v d D s s J n F 1 b 3 Q 7 T X V 6 a W V r d 2 V y a z E g K D J l I G t v c n B z K S Z x d W 9 0 O y w m c X V v d D t N d X p p Z W t 3 Z X J r M i A o M m U g a 2 9 y c H M p J n F 1 b 3 Q 7 L C Z x d W 9 0 O 0 t v c n B z I G J l c 3 R h Y X Q g d W l 0 I C 4 u L i B k Z W V s b m V t Z X J z I C g y Z S B r b 3 J w c y k m c X V v d D s s J n F 1 b 3 Q 7 T W V j a G F u a X N j a G U g b X V 6 a W V r J n F 1 b 3 Q 7 L C Z x d W 9 0 O 0 9 u Z G V y Z G V s Z W 4 m c X V v d D s s J n F 1 b 3 Q 7 U 2 V j d G l l c y Z x d W 9 0 O y w m c X V v d D t M Z W V m d G l q Z H N j Y X R l Z 2 9 y a W U m c X V v d D s s J n F 1 b 3 Q 7 Q W F u d G F s I G 9 w Z 2 V n Z X Z l b i B t Y W p v c m V 0 d G V z J n F 1 b 3 Q 7 X S I g L z 4 8 R W 5 0 c n k g V H l w Z T 0 i R m l s b E N v d W 5 0 I i B W Y W x 1 Z T 0 i b D Y i I C 8 + P E V u d H J 5 I F R 5 c G U 9 I k Z p b G x T d G F 0 d X M i I F Z h b H V l P S J z Q 2 9 t c G x l d G U i I C 8 + P E V u d H J 5 I F R 5 c G U 9 I k F k Z G V k V G 9 E Y X R h T W 9 k Z W w i I F Z h b H V l P S J s M C I g L z 4 8 R W 5 0 c n k g V H l w Z T 0 i U m V s Y X R p b 2 5 z a G l w S W 5 m b 0 N v b n R h a W 5 l c i I g V m F s d W U 9 I n N 7 J n F 1 b 3 Q 7 Y 2 9 s d W 1 u Q 2 9 1 b n Q m c X V v d D s 6 N z U s J n F 1 b 3 Q 7 a 2 V 5 Q 2 9 s d W 1 u T m F t Z X M m c X V v d D s 6 W 1 0 s J n F 1 b 3 Q 7 c X V l c n l S Z W x h d G l v b n N o a X B z J n F 1 b 3 Q 7 O l t d L C Z x d W 9 0 O 2 N v b H V t b k l k Z W 5 0 a X R p Z X M m c X V v d D s 6 W y Z x d W 9 0 O 1 N l Y 3 R p b 2 4 x L 0 t E U n Z O Q i 9 B d X R v U m V t b 3 Z l Z E N v b H V t b n M x L n t L c m l u Z 2 R h Z y w w f S Z x d W 9 0 O y w m c X V v d D t T Z W N 0 a W 9 u M S 9 L R F J 2 T k I v Q X V 0 b 1 J l b W 9 2 Z W R D b 2 x 1 b W 5 z M S 5 7 V m V y L m 5 y L D F 9 J n F 1 b 3 Q 7 L C Z x d W 9 0 O 1 N l Y 3 R p b 2 4 x L 0 t E U n Z O Q i 9 B d X R v U m V t b 3 Z l Z E N v b H V t b n M x L n t O Y W F t I H Z l c m V u a W d p b m c s M n 0 m c X V v d D s s J n F 1 b 3 Q 7 U 2 V j d G l v b j E v S 0 R S d k 5 C L 0 F 1 d G 9 S Z W 1 v d m V k Q 2 9 s d W 1 u c z E u e 0 R l b G V n Y X R p Z S w z f S Z x d W 9 0 O y w m c X V v d D t T Z W N 0 a W 9 u M S 9 L R F J 2 T k I v Q X V 0 b 1 J l b W 9 2 Z W R D b 2 x 1 b W 5 z M S 5 7 T X V 6 a W V r a 2 9 y c H M g Y m l q I G 1 h c n M g Z W 4 g Z G V m a W x c d T A w R T k s N H 0 m c X V v d D s s J n F 1 b 3 Q 7 U 2 V j d G l v b j E v S 0 R S d k 5 C L 0 F 1 d G 9 S Z W 1 v d m V k Q 2 9 s d W 1 u c z E u e 0 R l Z W x u L i B q Z X V n Z G t v b m l u Z 3 N j a G l l d G V u L D V 9 J n F 1 b 3 Q 7 L C Z x d W 9 0 O 1 N l Y 3 R p b 2 4 x L 0 t E U n Z O Q i 9 B d X R v U m V t b 3 Z l Z E N v b H V t b n M x L n t N Y W o u I F N l b m l v c m V u I G p 1 c m V y Z W 4 g Y m l q I G 1 h c n M s N n 0 m c X V v d D s s J n F 1 b 3 Q 7 U 2 V j d G l v b j E v S 0 R S d k 5 C L 0 F 1 d G 9 S Z W 1 v d m V k Q 2 9 s d W 1 u c z E u e 0 1 h a i 4 g S m V 1 Z 2 Q g a n V y Z X J l b i B i a W o g b W F y c y w 3 f S Z x d W 9 0 O y w m c X V v d D t T Z W N 0 a W 9 u M S 9 L R F J 2 T k I v Q X V 0 b 1 J l b W 9 2 Z W R D b 2 x 1 b W 5 z M S 5 7 S 2 9 y c H M g c 2 V u a W 9 y Z W 4 s O H 0 m c X V v d D s s J n F 1 b 3 Q 7 U 2 V j d G l v b j E v S 0 R S d k 5 C L 0 F 1 d G 9 S Z W 1 v d m V k Q 2 9 s d W 1 u c z E u e 0 p 1 b m l v c m V u I G t v c n B z I D E s O X 0 m c X V v d D s s J n F 1 b 3 Q 7 U 2 V j d G l v b j E v S 0 R S d k 5 C L 0 F 1 d G 9 S Z W 1 v d m V k Q 2 9 s d W 1 u c z E u e 0 p 1 b m l v c m V u I G t v c n B z I D I s M T B 9 J n F 1 b 3 Q 7 L C Z x d W 9 0 O 1 N l Y 3 R p b 2 4 x L 0 t E U n Z O Q i 9 B d X R v U m V t b 3 Z l Z E N v b H V t b n M x L n t B c 3 B p c m F u d G V u I G t v c n B z I D E s M T F 9 J n F 1 b 3 Q 7 L C Z x d W 9 0 O 1 N l Y 3 R p b 2 4 x L 0 t E U n Z O Q i 9 B d X R v U m V t b 3 Z l Z E N v b H V t b n M x L n t B c 3 B p c m F u d G V u I G t v c n B z I D I s M T J 9 J n F 1 b 3 Q 7 L C Z x d W 9 0 O 1 N l Y 3 R p b 2 4 x L 0 t E U n Z O Q i 9 B d X R v U m V t b 3 Z l Z E N v b H V t b n M x L n t B Y 3 J v Y m F 0 a X N j a C B z Z W 5 p b 3 J l b i w x M 3 0 m c X V v d D s s J n F 1 b 3 Q 7 U 2 V j d G l v b j E v S 0 R S d k 5 C L 0 F 1 d G 9 S Z W 1 v d m V k Q 2 9 s d W 1 u c z E u e 0 F j c m 9 i Y X R p c 2 N o I G p 1 b m l v c m V u L D E 0 f S Z x d W 9 0 O y w m c X V v d D t T Z W N 0 a W 9 u M S 9 L R F J 2 T k I v Q X V 0 b 1 J l b W 9 2 Z W R D b 2 x 1 b W 5 z M S 5 7 Q W N y b 2 J h d G l z Y 2 g g Y X N w a X J h b n R l b i w x N X 0 m c X V v d D s s J n F 1 b 3 Q 7 U 2 V j d G l v b j E v S 0 R S d k 5 C L 0 F 1 d G 9 S Z W 1 v d m V k Q 2 9 s d W 1 u c z E u e 1 N o b 3 c g c 2 V u a W 9 y Z W 4 s M T Z 9 J n F 1 b 3 Q 7 L C Z x d W 9 0 O 1 N l Y 3 R p b 2 4 x L 0 t E U n Z O Q i 9 B d X R v U m V t b 3 Z l Z E N v b H V t b n M x L n t T a G 9 3 I G p 1 b m l v c m V u L D E 3 f S Z x d W 9 0 O y w m c X V v d D t T Z W N 0 a W 9 u M S 9 L R F J 2 T k I v Q X V 0 b 1 J l b W 9 2 Z W R D b 2 x 1 b W 5 z M S 5 7 U 2 h v d y B h c 3 B p c m F u d G V u L D E 4 f S Z x d W 9 0 O y w m c X V v d D t T Z W N 0 a W 9 u M S 9 L R F J 2 T k I v Q X V 0 b 1 J l b W 9 2 Z W R D b 2 x 1 b W 5 z M S 5 7 U 2 V u a W 9 y Z W 4 g a W 5 k a X Y u L D E 5 f S Z x d W 9 0 O y w m c X V v d D t T Z W N 0 a W 9 u M S 9 L R F J 2 T k I v Q X V 0 b 1 J l b W 9 2 Z W R D b 2 x 1 b W 5 z M S 5 7 S n V u a W 9 y Z W 4 g a W 5 k a X Y u L D I w f S Z x d W 9 0 O y w m c X V v d D t T Z W N 0 a W 9 u M S 9 L R F J 2 T k I v Q X V 0 b 1 J l b W 9 2 Z W R D b 2 x 1 b W 5 z M S 5 7 Q X N w a X J h b n R l b i B p b m R p d i 4 s M j F 9 J n F 1 b 3 Q 7 L C Z x d W 9 0 O 1 N l Y 3 R p b 2 4 x L 0 t E U n Z O Q i 9 B d X R v U m V t b 3 Z l Z E N v b H V t b n M x L n t T Z W 4 u I G l u Z C B v c G d l Z 2 V 2 Z W 4 g b m F t Z W 4 s M j J 9 J n F 1 b 3 Q 7 L C Z x d W 9 0 O 1 N l Y 3 R p b 2 4 x L 0 t E U n Z O Q i 9 B d X R v U m V t b 3 Z l Z E N v b H V t b n M x L n t K d W 4 u I G l u Z C B v c G d l Z 2 V 2 Z W 4 g b m F t Z W 4 s M j N 9 J n F 1 b 3 Q 7 L C Z x d W 9 0 O 1 N l Y 3 R p b 2 4 x L 0 t E U n Z O Q i 9 B d X R v U m V t b 3 Z l Z E N v b H V t b n M x L n t B c 3 A u I G l u Z C B v c G d l Z 2 V 2 Z W 4 g b m F t Z W 4 s M j R 9 J n F 1 b 3 Q 7 L C Z x d W 9 0 O 1 N l Y 3 R p b 2 4 x L 0 t E U n Z O Q i 9 B d X R v U m V t b 3 Z l Z E N v b H V t b n M x L n t I b 2 9 m Z G t v c n B z L D I 1 f S Z x d W 9 0 O y w m c X V v d D t T Z W N 0 a W 9 u M S 9 L R F J 2 T k I v Q X V 0 b 1 J l b W 9 2 Z W R D b 2 x 1 b W 5 z M S 5 7 M m U g a 2 9 y c H M s M j Z 9 J n F 1 b 3 Q 7 L C Z x d W 9 0 O 1 N l Y 3 R p b 2 4 x L 0 t E U n Z O Q i 9 B d X R v U m V t b 3 Z l Z E N v b H V t b n M x L n t H c m 9 l c G V u L C B 0 Z W F t c y w g Z W 5 z Z W 1 i b G V z I G V u I G R 1 b 1 x 1 M D A y N 3 M s M j d 9 J n F 1 b 3 Q 7 L C Z x d W 9 0 O 1 N l Y 3 R p b 2 4 x L 0 t E U n Z O Q i 9 B d X R v U m V t b 3 Z l Z E N v b H V t b n M x L n t T Z W 5 p b 3 J l b i w y O H 0 m c X V v d D s s J n F 1 b 3 Q 7 U 2 V j d G l v b j E v S 0 R S d k 5 C L 0 F 1 d G 9 S Z W 1 v d m V k Q 2 9 s d W 1 u c z E u e 0 p v b m c g d m 9 s d 2 F z c 2 V u Z S w y O X 0 m c X V v d D s s J n F 1 b 3 Q 7 U 2 V j d G l v b j E v S 0 R S d k 5 C L 0 F 1 d G 9 S Z W 1 v d m V k Q 2 9 s d W 1 u c z E u e 0 p 1 b m l v c m V u L D M w f S Z x d W 9 0 O y w m c X V v d D t T Z W N 0 a W 9 u M S 9 L R F J 2 T k I v Q X V 0 b 1 J l b W 9 2 Z W R D b 2 x 1 b W 5 z M S 5 7 Q X N w a X J h b n R l b i w z M X 0 m c X V v d D s s J n F 1 b 3 Q 7 U 2 V j d G l v b j E v S 0 R S d k 5 C L 0 F 1 d G 9 S Z W 1 v d m V k Q 2 9 s d W 1 u c z E u e 0 9 w Z 2 V n Z X Z l b i B z Z W 5 p b 3 J l b i w z M n 0 m c X V v d D s s J n F 1 b 3 Q 7 U 2 V j d G l v b j E v S 0 R S d k 5 C L 0 F 1 d G 9 S Z W 1 v d m V k Q 2 9 s d W 1 u c z E u e 0 9 w Z 2 V n Z X Z l b i B q b 2 5 n I H Z v b H d h c 3 N l b m U s M z N 9 J n F 1 b 3 Q 7 L C Z x d W 9 0 O 1 N l Y 3 R p b 2 4 x L 0 t E U n Z O Q i 9 B d X R v U m V t b 3 Z l Z E N v b H V t b n M x L n t P c G d l Z 2 V 2 Z W 4 g a n V u a W 9 y Z W 4 s M z R 9 J n F 1 b 3 Q 7 L C Z x d W 9 0 O 1 N l Y 3 R p b 2 4 x L 0 t E U n Z O Q i 9 B d X R v U m V t b 3 Z l Z E N v b H V t b n M x L n t P c G d l Z 2 V 2 Z W 4 g Y X N w a X J h b n R l b i w z N X 0 m c X V v d D s s J n F 1 b 3 Q 7 U 2 V j d G l v b j E v S 0 R S d k 5 C L 0 F 1 d G 9 S Z W 1 v d m V k Q 2 9 s d W 1 u c z E u e 0 1 h c m t l d G V u d H N 0 Z X J z L D M 2 f S Z x d W 9 0 O y w m c X V v d D t T Z W N 0 a W 9 u M S 9 L R F J 2 T k I v Q X V 0 b 1 J l b W 9 2 Z W R D b 2 x 1 b W 5 z M S 5 7 T H V j a H R n Z X d l Z X I s M z d 9 J n F 1 b 3 Q 7 L C Z x d W 9 0 O 1 N l Y 3 R p b 2 4 x L 0 t E U n Z O Q i 9 B d X R v U m V t b 3 Z l Z E N v b H V t b n M x L n t B Y W 5 0 Y W w g b H V j a H R n Z X d l Z X J z Y 2 h 1 d H R l c n M s M z h 9 J n F 1 b 3 Q 7 L C Z x d W 9 0 O 1 N l Y 3 R p b 2 4 x L 0 t E U n Z O Q i 9 B d X R v U m V t b 3 Z l Z E N v b H V t b n M x L n t M d W N o d H B p c 3 R v b 2 w s M z l 9 J n F 1 b 3 Q 7 L C Z x d W 9 0 O 1 N l Y 3 R p b 2 4 x L 0 t E U n Z O Q i 9 B d X R v U m V t b 3 Z l Z E N v b H V t b n M x L n t B Y W 5 0 Y W w g b H V j a H R w a X N 0 b 2 9 s c 2 N o d X R 0 Z X J z L D Q w f S Z x d W 9 0 O y w m c X V v d D t T Z W N 0 a W 9 u M S 9 L R F J 2 T k I v Q X V 0 b 1 J l b W 9 2 Z W R D b 2 x 1 b W 5 z M S 5 7 S G F u Z G J v b 2 c s N D F 9 J n F 1 b 3 Q 7 L C Z x d W 9 0 O 1 N l Y 3 R p b 2 4 x L 0 t E U n Z O Q i 9 B d X R v U m V t b 3 Z l Z E N v b H V t b n M x L n t B Y W 5 0 Y W w g a G F u Z G J v b 2 d z Y 2 h 1 d H R l c n M s N D J 9 J n F 1 b 3 Q 7 L C Z x d W 9 0 O 1 N l Y 3 R p b 2 4 x L 0 t E U n Z O Q i 9 B d X R v U m V t b 3 Z l Z E N v b H V t b n M x L n t L c n V p c 2 J v b 2 c s N D N 9 J n F 1 b 3 Q 7 L C Z x d W 9 0 O 1 N l Y 3 R p b 2 4 x L 0 t E U n Z O Q i 9 B d X R v U m V t b 3 Z l Z E N v b H V t b n M x L n t B Y W 5 0 Y W w g a 3 J 1 a X N i b 2 9 n c 2 N o d X R 0 Z X J z L D Q 0 f S Z x d W 9 0 O y w m c X V v d D t T Z W N 0 a W 9 u M S 9 L R F J 2 T k I v Q X V 0 b 1 J l b W 9 2 Z W R D b 2 x 1 b W 5 z M S 5 7 T H V j a H R n Z X d l Z X I g a m V 1 Z 2 Q g b m l l d C B v d W R l c i B k Y W 4 g M T c g a m F h c i 4 s N D V 9 J n F 1 b 3 Q 7 L C Z x d W 9 0 O 1 N l Y 3 R p b 2 4 x L 0 t E U n Z O Q i 9 B d X R v U m V t b 3 Z l Z E N v b H V t b n M x L n t B Y W 5 0 Y W w g a 2 9 y c H N l b i w 0 N n 0 m c X V v d D s s J n F 1 b 3 Q 7 U 2 V j d G l v b j E v S 0 R S d k 5 C L 0 F 1 d G 9 S Z W 1 v d m V k Q 2 9 s d W 1 u c z E u e 0 9 w Z 2 V n Z X Z l b i B q Z X V n Z G t v c n B z Z W 4 g T E c s N D d 9 J n F 1 b 3 Q 7 L C Z x d W 9 0 O 1 N l Y 3 R p b 2 4 x L 0 t E U n Z O Q i 9 B d X R v U m V t b 3 Z l Z E N v b H V t b n M x L n t U b 3 R h Y W w g Y W F u d G F s I G R l Z W x u Z W 1 l c n M s N D h 9 J n F 1 b 3 Q 7 L C Z x d W 9 0 O 1 N l Y 3 R p b 2 4 x L 0 t E U n Z O Q i 9 B d X R v U m V t b 3 Z l Z E N v b H V t b n M x L n t X Y W F y d m F u I G F h b n R h b C B q Z X V n Z C A o d C 9 t I D E 1 I G p h Y X I p L D Q 5 f S Z x d W 9 0 O y w m c X V v d D t T Z W N 0 a W 9 u M S 9 L R F J 2 T k I v Q X V 0 b 1 J l b W 9 2 Z W R D b 2 x 1 b W 5 z M S 5 7 S 2 F u b 2 4 g Z X R j L i w 1 M H 0 m c X V v d D s s J n F 1 b 3 Q 7 U 2 V j d G l v b j E v S 0 R S d k 5 C L 0 F 1 d G 9 S Z W 1 v d m V k Q 2 9 s d W 1 u c z E u e 1 B h Y X J k Z W 4 g Z W 4 v b 2 Y g a 2 9 l d H N l b i w 1 M X 0 m c X V v d D s s J n F 1 b 3 Q 7 U 2 V j d G l v b j E v S 0 R S d k 5 C L 0 F 1 d G 9 S Z W 1 v d m V k Q 2 9 s d W 1 u c z E u e 1 R v Z W x p Y 2 h 0 a W 5 n L 2 9 w b W V y a 2 l u Z 2 V u L D U y f S Z x d W 9 0 O y w m c X V v d D t T Z W N 0 a W 9 u M S 9 L R F J 2 T k I v Q X V 0 b 1 J l b W 9 2 Z W R D b 2 x 1 b W 5 z M S 5 7 S W 5 6 Z W 5 k a W 5 n L U l E L D U z f S Z x d W 9 0 O y w m c X V v d D t T Z W N 0 a W 9 u M S 9 L R F J 2 T k I v Q X V 0 b 1 J l b W 9 2 Z W R D b 2 x 1 b W 5 z M S 5 7 S W 5 6 Z W 5 k Z G F 0 d W 0 s N T R 9 J n F 1 b 3 Q 7 L C Z x d W 9 0 O 1 N l Y 3 R p b 2 4 x L 0 t E U n Z O Q i 9 B d X R v U m V t b 3 Z l Z E N v b H V t b n M x L n t E Y X R l I F V w Z G F 0 Z W Q s N T V 9 J n F 1 b 3 Q 7 L C Z x d W 9 0 O 1 N l Y 3 R p b 2 4 x L 0 t E U n Z O Q i 9 B d X R v U m V t b 3 Z l Z E N v b H V t b n M x L n t O Y W F t I H Z h b i B o Z X Q g a G 9 v Z m R r b 3 J w c y w 1 N n 0 m c X V v d D s s J n F 1 b 3 Q 7 U 2 V j d G l v b j E v S 0 R S d k 5 C L 0 F 1 d G 9 S Z W 1 v d m V k Q 2 9 s d W 1 u c z E u e 1 p h b C B v c C B 0 c m V k Z W 4 g Y W x z I C h o b 2 9 m Z G t v c n B z K S w 1 N 3 0 m c X V v d D s s J n F 1 b 3 Q 7 U 2 V j d G l v b j E v S 0 R S d k 5 C L 0 F 1 d G 9 S Z W 1 v d m V k Q 2 9 s d W 1 u c z E u e 1 Z v c m 0 g d m F u I H R 3 Z W U g b X V 6 a W V r d 2 V y a 2 V u I C h o b 2 9 m Z G t v c n B z K S w 1 O H 0 m c X V v d D s s J n F 1 b 3 Q 7 U 2 V j d G l v b j E v S 0 R S d k 5 C L 0 F 1 d G 9 S Z W 1 v d m V k Q 2 9 s d W 1 u c z E u e 1 p h b C B 1 a X R r b 2 1 l b i B p b i B k Z T o g K G h v b 2 Z k a 2 9 y c H M p L D U 5 f S Z x d W 9 0 O y w m c X V v d D t T Z W N 0 a W 9 u M S 9 L R F J 2 T k I v Q X V 0 b 1 J l b W 9 2 Z W R D b 2 x 1 b W 5 z M S 5 7 T X V 6 a W V r d 2 V y a z E g K G h v b 2 Z k a 2 9 y c H M p L D Y w f S Z x d W 9 0 O y w m c X V v d D t T Z W N 0 a W 9 u M S 9 L R F J 2 T k I v Q X V 0 b 1 J l b W 9 2 Z W R D b 2 x 1 b W 5 z M S 5 7 T X V 6 a W V r d 2 V y a z I g K G h v b 2 Z k a 2 9 y c H M p L D Y x f S Z x d W 9 0 O y w m c X V v d D t T Z W N 0 a W 9 u M S 9 L R F J 2 T k I v Q X V 0 b 1 J l b W 9 2 Z W R D b 2 x 1 b W 5 z M S 5 7 S 2 9 y c H M g Y m V z d G F h d C B 1 a X Q g L i 4 u I G R l Z W x u Z W 1 l c n M g K G h v b 2 Z k a 2 9 y c H M p L D Y y f S Z x d W 9 0 O y w m c X V v d D t T Z W N 0 a W 9 u M S 9 L R F J 2 T k I v Q X V 0 b 1 J l b W 9 2 Z W R D b 2 x 1 b W 5 z M S 5 7 T m F h b S B 2 Y W 4 g a G V 0 I D J l I G t v c n B z L D Y z f S Z x d W 9 0 O y w m c X V v d D t T Z W N 0 a W 9 u M S 9 L R F J 2 T k I v Q X V 0 b 1 J l b W 9 2 Z W R D b 2 x 1 b W 5 z M S 5 7 W m F s I G 9 w I H R y Z W R l b i B h b H M g K D J l I G t v c n B z K S w 2 N H 0 m c X V v d D s s J n F 1 b 3 Q 7 U 2 V j d G l v b j E v S 0 R S d k 5 C L 0 F 1 d G 9 S Z W 1 v d m V k Q 2 9 s d W 1 u c z E u e 1 Z v c m 0 g d m F u I H R 3 Z W U g b X V 6 a W V r d 2 V y a 2 V u I C g y Z S B r b 3 J w c y k s N j V 9 J n F 1 b 3 Q 7 L C Z x d W 9 0 O 1 N l Y 3 R p b 2 4 x L 0 t E U n Z O Q i 9 B d X R v U m V t b 3 Z l Z E N v b H V t b n M x L n t a Y W w g d W l 0 a 2 9 t Z W 4 g a W 4 g Z G U 6 I C g y Z S B r b 3 J w c y k s N j Z 9 J n F 1 b 3 Q 7 L C Z x d W 9 0 O 1 N l Y 3 R p b 2 4 x L 0 t E U n Z O Q i 9 B d X R v U m V t b 3 Z l Z E N v b H V t b n M x L n t N d X p p Z W t 3 Z X J r M S A o M m U g a 2 9 y c H M p L D Y 3 f S Z x d W 9 0 O y w m c X V v d D t T Z W N 0 a W 9 u M S 9 L R F J 2 T k I v Q X V 0 b 1 J l b W 9 2 Z W R D b 2 x 1 b W 5 z M S 5 7 T X V 6 a W V r d 2 V y a z I g K D J l I G t v c n B z K S w 2 O H 0 m c X V v d D s s J n F 1 b 3 Q 7 U 2 V j d G l v b j E v S 0 R S d k 5 C L 0 F 1 d G 9 S Z W 1 v d m V k Q 2 9 s d W 1 u c z E u e 0 t v c n B z I G J l c 3 R h Y X Q g d W l 0 I C 4 u L i B k Z W V s b m V t Z X J z I C g y Z S B r b 3 J w c y k s N j l 9 J n F 1 b 3 Q 7 L C Z x d W 9 0 O 1 N l Y 3 R p b 2 4 x L 0 t E U n Z O Q i 9 B d X R v U m V t b 3 Z l Z E N v b H V t b n M x L n t N Z W N o Y W 5 p c 2 N o Z S B t d X p p Z W s s N z B 9 J n F 1 b 3 Q 7 L C Z x d W 9 0 O 1 N l Y 3 R p b 2 4 x L 0 t E U n Z O Q i 9 B d X R v U m V t b 3 Z l Z E N v b H V t b n M x L n t P b m R l c m R l b G V u L D c x f S Z x d W 9 0 O y w m c X V v d D t T Z W N 0 a W 9 u M S 9 L R F J 2 T k I v Q X V 0 b 1 J l b W 9 2 Z W R D b 2 x 1 b W 5 z M S 5 7 U 2 V j d G l l c y w 3 M n 0 m c X V v d D s s J n F 1 b 3 Q 7 U 2 V j d G l v b j E v S 0 R S d k 5 C L 0 F 1 d G 9 S Z W 1 v d m V k Q 2 9 s d W 1 u c z E u e 0 x l Z W Z 0 a W p k c 2 N h d G V n b 3 J p Z S w 3 M 3 0 m c X V v d D s s J n F 1 b 3 Q 7 U 2 V j d G l v b j E v S 0 R S d k 5 C L 0 F 1 d G 9 S Z W 1 v d m V k Q 2 9 s d W 1 u c z E u e 0 F h b n R h b C B v c G d l Z 2 V 2 Z W 4 g b W F q b 3 J l d H R l c y w 3 N H 0 m c X V v d D t d L C Z x d W 9 0 O 0 N v b H V t b k N v d W 5 0 J n F 1 b 3 Q 7 O j c 1 L C Z x d W 9 0 O 0 t l e U N v b H V t b k 5 h b W V z J n F 1 b 3 Q 7 O l t d L C Z x d W 9 0 O 0 N v b H V t b k l k Z W 5 0 a X R p Z X M m c X V v d D s 6 W y Z x d W 9 0 O 1 N l Y 3 R p b 2 4 x L 0 t E U n Z O Q i 9 B d X R v U m V t b 3 Z l Z E N v b H V t b n M x L n t L c m l u Z 2 R h Z y w w f S Z x d W 9 0 O y w m c X V v d D t T Z W N 0 a W 9 u M S 9 L R F J 2 T k I v Q X V 0 b 1 J l b W 9 2 Z W R D b 2 x 1 b W 5 z M S 5 7 V m V y L m 5 y L D F 9 J n F 1 b 3 Q 7 L C Z x d W 9 0 O 1 N l Y 3 R p b 2 4 x L 0 t E U n Z O Q i 9 B d X R v U m V t b 3 Z l Z E N v b H V t b n M x L n t O Y W F t I H Z l c m V u a W d p b m c s M n 0 m c X V v d D s s J n F 1 b 3 Q 7 U 2 V j d G l v b j E v S 0 R S d k 5 C L 0 F 1 d G 9 S Z W 1 v d m V k Q 2 9 s d W 1 u c z E u e 0 R l b G V n Y X R p Z S w z f S Z x d W 9 0 O y w m c X V v d D t T Z W N 0 a W 9 u M S 9 L R F J 2 T k I v Q X V 0 b 1 J l b W 9 2 Z W R D b 2 x 1 b W 5 z M S 5 7 T X V 6 a W V r a 2 9 y c H M g Y m l q I G 1 h c n M g Z W 4 g Z G V m a W x c d T A w R T k s N H 0 m c X V v d D s s J n F 1 b 3 Q 7 U 2 V j d G l v b j E v S 0 R S d k 5 C L 0 F 1 d G 9 S Z W 1 v d m V k Q 2 9 s d W 1 u c z E u e 0 R l Z W x u L i B q Z X V n Z G t v b m l u Z 3 N j a G l l d G V u L D V 9 J n F 1 b 3 Q 7 L C Z x d W 9 0 O 1 N l Y 3 R p b 2 4 x L 0 t E U n Z O Q i 9 B d X R v U m V t b 3 Z l Z E N v b H V t b n M x L n t N Y W o u I F N l b m l v c m V u I G p 1 c m V y Z W 4 g Y m l q I G 1 h c n M s N n 0 m c X V v d D s s J n F 1 b 3 Q 7 U 2 V j d G l v b j E v S 0 R S d k 5 C L 0 F 1 d G 9 S Z W 1 v d m V k Q 2 9 s d W 1 u c z E u e 0 1 h a i 4 g S m V 1 Z 2 Q g a n V y Z X J l b i B i a W o g b W F y c y w 3 f S Z x d W 9 0 O y w m c X V v d D t T Z W N 0 a W 9 u M S 9 L R F J 2 T k I v Q X V 0 b 1 J l b W 9 2 Z W R D b 2 x 1 b W 5 z M S 5 7 S 2 9 y c H M g c 2 V u a W 9 y Z W 4 s O H 0 m c X V v d D s s J n F 1 b 3 Q 7 U 2 V j d G l v b j E v S 0 R S d k 5 C L 0 F 1 d G 9 S Z W 1 v d m V k Q 2 9 s d W 1 u c z E u e 0 p 1 b m l v c m V u I G t v c n B z I D E s O X 0 m c X V v d D s s J n F 1 b 3 Q 7 U 2 V j d G l v b j E v S 0 R S d k 5 C L 0 F 1 d G 9 S Z W 1 v d m V k Q 2 9 s d W 1 u c z E u e 0 p 1 b m l v c m V u I G t v c n B z I D I s M T B 9 J n F 1 b 3 Q 7 L C Z x d W 9 0 O 1 N l Y 3 R p b 2 4 x L 0 t E U n Z O Q i 9 B d X R v U m V t b 3 Z l Z E N v b H V t b n M x L n t B c 3 B p c m F u d G V u I G t v c n B z I D E s M T F 9 J n F 1 b 3 Q 7 L C Z x d W 9 0 O 1 N l Y 3 R p b 2 4 x L 0 t E U n Z O Q i 9 B d X R v U m V t b 3 Z l Z E N v b H V t b n M x L n t B c 3 B p c m F u d G V u I G t v c n B z I D I s M T J 9 J n F 1 b 3 Q 7 L C Z x d W 9 0 O 1 N l Y 3 R p b 2 4 x L 0 t E U n Z O Q i 9 B d X R v U m V t b 3 Z l Z E N v b H V t b n M x L n t B Y 3 J v Y m F 0 a X N j a C B z Z W 5 p b 3 J l b i w x M 3 0 m c X V v d D s s J n F 1 b 3 Q 7 U 2 V j d G l v b j E v S 0 R S d k 5 C L 0 F 1 d G 9 S Z W 1 v d m V k Q 2 9 s d W 1 u c z E u e 0 F j c m 9 i Y X R p c 2 N o I G p 1 b m l v c m V u L D E 0 f S Z x d W 9 0 O y w m c X V v d D t T Z W N 0 a W 9 u M S 9 L R F J 2 T k I v Q X V 0 b 1 J l b W 9 2 Z W R D b 2 x 1 b W 5 z M S 5 7 Q W N y b 2 J h d G l z Y 2 g g Y X N w a X J h b n R l b i w x N X 0 m c X V v d D s s J n F 1 b 3 Q 7 U 2 V j d G l v b j E v S 0 R S d k 5 C L 0 F 1 d G 9 S Z W 1 v d m V k Q 2 9 s d W 1 u c z E u e 1 N o b 3 c g c 2 V u a W 9 y Z W 4 s M T Z 9 J n F 1 b 3 Q 7 L C Z x d W 9 0 O 1 N l Y 3 R p b 2 4 x L 0 t E U n Z O Q i 9 B d X R v U m V t b 3 Z l Z E N v b H V t b n M x L n t T a G 9 3 I G p 1 b m l v c m V u L D E 3 f S Z x d W 9 0 O y w m c X V v d D t T Z W N 0 a W 9 u M S 9 L R F J 2 T k I v Q X V 0 b 1 J l b W 9 2 Z W R D b 2 x 1 b W 5 z M S 5 7 U 2 h v d y B h c 3 B p c m F u d G V u L D E 4 f S Z x d W 9 0 O y w m c X V v d D t T Z W N 0 a W 9 u M S 9 L R F J 2 T k I v Q X V 0 b 1 J l b W 9 2 Z W R D b 2 x 1 b W 5 z M S 5 7 U 2 V u a W 9 y Z W 4 g a W 5 k a X Y u L D E 5 f S Z x d W 9 0 O y w m c X V v d D t T Z W N 0 a W 9 u M S 9 L R F J 2 T k I v Q X V 0 b 1 J l b W 9 2 Z W R D b 2 x 1 b W 5 z M S 5 7 S n V u a W 9 y Z W 4 g a W 5 k a X Y u L D I w f S Z x d W 9 0 O y w m c X V v d D t T Z W N 0 a W 9 u M S 9 L R F J 2 T k I v Q X V 0 b 1 J l b W 9 2 Z W R D b 2 x 1 b W 5 z M S 5 7 Q X N w a X J h b n R l b i B p b m R p d i 4 s M j F 9 J n F 1 b 3 Q 7 L C Z x d W 9 0 O 1 N l Y 3 R p b 2 4 x L 0 t E U n Z O Q i 9 B d X R v U m V t b 3 Z l Z E N v b H V t b n M x L n t T Z W 4 u I G l u Z C B v c G d l Z 2 V 2 Z W 4 g b m F t Z W 4 s M j J 9 J n F 1 b 3 Q 7 L C Z x d W 9 0 O 1 N l Y 3 R p b 2 4 x L 0 t E U n Z O Q i 9 B d X R v U m V t b 3 Z l Z E N v b H V t b n M x L n t K d W 4 u I G l u Z C B v c G d l Z 2 V 2 Z W 4 g b m F t Z W 4 s M j N 9 J n F 1 b 3 Q 7 L C Z x d W 9 0 O 1 N l Y 3 R p b 2 4 x L 0 t E U n Z O Q i 9 B d X R v U m V t b 3 Z l Z E N v b H V t b n M x L n t B c 3 A u I G l u Z C B v c G d l Z 2 V 2 Z W 4 g b m F t Z W 4 s M j R 9 J n F 1 b 3 Q 7 L C Z x d W 9 0 O 1 N l Y 3 R p b 2 4 x L 0 t E U n Z O Q i 9 B d X R v U m V t b 3 Z l Z E N v b H V t b n M x L n t I b 2 9 m Z G t v c n B z L D I 1 f S Z x d W 9 0 O y w m c X V v d D t T Z W N 0 a W 9 u M S 9 L R F J 2 T k I v Q X V 0 b 1 J l b W 9 2 Z W R D b 2 x 1 b W 5 z M S 5 7 M m U g a 2 9 y c H M s M j Z 9 J n F 1 b 3 Q 7 L C Z x d W 9 0 O 1 N l Y 3 R p b 2 4 x L 0 t E U n Z O Q i 9 B d X R v U m V t b 3 Z l Z E N v b H V t b n M x L n t H c m 9 l c G V u L C B 0 Z W F t c y w g Z W 5 z Z W 1 i b G V z I G V u I G R 1 b 1 x 1 M D A y N 3 M s M j d 9 J n F 1 b 3 Q 7 L C Z x d W 9 0 O 1 N l Y 3 R p b 2 4 x L 0 t E U n Z O Q i 9 B d X R v U m V t b 3 Z l Z E N v b H V t b n M x L n t T Z W 5 p b 3 J l b i w y O H 0 m c X V v d D s s J n F 1 b 3 Q 7 U 2 V j d G l v b j E v S 0 R S d k 5 C L 0 F 1 d G 9 S Z W 1 v d m V k Q 2 9 s d W 1 u c z E u e 0 p v b m c g d m 9 s d 2 F z c 2 V u Z S w y O X 0 m c X V v d D s s J n F 1 b 3 Q 7 U 2 V j d G l v b j E v S 0 R S d k 5 C L 0 F 1 d G 9 S Z W 1 v d m V k Q 2 9 s d W 1 u c z E u e 0 p 1 b m l v c m V u L D M w f S Z x d W 9 0 O y w m c X V v d D t T Z W N 0 a W 9 u M S 9 L R F J 2 T k I v Q X V 0 b 1 J l b W 9 2 Z W R D b 2 x 1 b W 5 z M S 5 7 Q X N w a X J h b n R l b i w z M X 0 m c X V v d D s s J n F 1 b 3 Q 7 U 2 V j d G l v b j E v S 0 R S d k 5 C L 0 F 1 d G 9 S Z W 1 v d m V k Q 2 9 s d W 1 u c z E u e 0 9 w Z 2 V n Z X Z l b i B z Z W 5 p b 3 J l b i w z M n 0 m c X V v d D s s J n F 1 b 3 Q 7 U 2 V j d G l v b j E v S 0 R S d k 5 C L 0 F 1 d G 9 S Z W 1 v d m V k Q 2 9 s d W 1 u c z E u e 0 9 w Z 2 V n Z X Z l b i B q b 2 5 n I H Z v b H d h c 3 N l b m U s M z N 9 J n F 1 b 3 Q 7 L C Z x d W 9 0 O 1 N l Y 3 R p b 2 4 x L 0 t E U n Z O Q i 9 B d X R v U m V t b 3 Z l Z E N v b H V t b n M x L n t P c G d l Z 2 V 2 Z W 4 g a n V u a W 9 y Z W 4 s M z R 9 J n F 1 b 3 Q 7 L C Z x d W 9 0 O 1 N l Y 3 R p b 2 4 x L 0 t E U n Z O Q i 9 B d X R v U m V t b 3 Z l Z E N v b H V t b n M x L n t P c G d l Z 2 V 2 Z W 4 g Y X N w a X J h b n R l b i w z N X 0 m c X V v d D s s J n F 1 b 3 Q 7 U 2 V j d G l v b j E v S 0 R S d k 5 C L 0 F 1 d G 9 S Z W 1 v d m V k Q 2 9 s d W 1 u c z E u e 0 1 h c m t l d G V u d H N 0 Z X J z L D M 2 f S Z x d W 9 0 O y w m c X V v d D t T Z W N 0 a W 9 u M S 9 L R F J 2 T k I v Q X V 0 b 1 J l b W 9 2 Z W R D b 2 x 1 b W 5 z M S 5 7 T H V j a H R n Z X d l Z X I s M z d 9 J n F 1 b 3 Q 7 L C Z x d W 9 0 O 1 N l Y 3 R p b 2 4 x L 0 t E U n Z O Q i 9 B d X R v U m V t b 3 Z l Z E N v b H V t b n M x L n t B Y W 5 0 Y W w g b H V j a H R n Z X d l Z X J z Y 2 h 1 d H R l c n M s M z h 9 J n F 1 b 3 Q 7 L C Z x d W 9 0 O 1 N l Y 3 R p b 2 4 x L 0 t E U n Z O Q i 9 B d X R v U m V t b 3 Z l Z E N v b H V t b n M x L n t M d W N o d H B p c 3 R v b 2 w s M z l 9 J n F 1 b 3 Q 7 L C Z x d W 9 0 O 1 N l Y 3 R p b 2 4 x L 0 t E U n Z O Q i 9 B d X R v U m V t b 3 Z l Z E N v b H V t b n M x L n t B Y W 5 0 Y W w g b H V j a H R w a X N 0 b 2 9 s c 2 N o d X R 0 Z X J z L D Q w f S Z x d W 9 0 O y w m c X V v d D t T Z W N 0 a W 9 u M S 9 L R F J 2 T k I v Q X V 0 b 1 J l b W 9 2 Z W R D b 2 x 1 b W 5 z M S 5 7 S G F u Z G J v b 2 c s N D F 9 J n F 1 b 3 Q 7 L C Z x d W 9 0 O 1 N l Y 3 R p b 2 4 x L 0 t E U n Z O Q i 9 B d X R v U m V t b 3 Z l Z E N v b H V t b n M x L n t B Y W 5 0 Y W w g a G F u Z G J v b 2 d z Y 2 h 1 d H R l c n M s N D J 9 J n F 1 b 3 Q 7 L C Z x d W 9 0 O 1 N l Y 3 R p b 2 4 x L 0 t E U n Z O Q i 9 B d X R v U m V t b 3 Z l Z E N v b H V t b n M x L n t L c n V p c 2 J v b 2 c s N D N 9 J n F 1 b 3 Q 7 L C Z x d W 9 0 O 1 N l Y 3 R p b 2 4 x L 0 t E U n Z O Q i 9 B d X R v U m V t b 3 Z l Z E N v b H V t b n M x L n t B Y W 5 0 Y W w g a 3 J 1 a X N i b 2 9 n c 2 N o d X R 0 Z X J z L D Q 0 f S Z x d W 9 0 O y w m c X V v d D t T Z W N 0 a W 9 u M S 9 L R F J 2 T k I v Q X V 0 b 1 J l b W 9 2 Z W R D b 2 x 1 b W 5 z M S 5 7 T H V j a H R n Z X d l Z X I g a m V 1 Z 2 Q g b m l l d C B v d W R l c i B k Y W 4 g M T c g a m F h c i 4 s N D V 9 J n F 1 b 3 Q 7 L C Z x d W 9 0 O 1 N l Y 3 R p b 2 4 x L 0 t E U n Z O Q i 9 B d X R v U m V t b 3 Z l Z E N v b H V t b n M x L n t B Y W 5 0 Y W w g a 2 9 y c H N l b i w 0 N n 0 m c X V v d D s s J n F 1 b 3 Q 7 U 2 V j d G l v b j E v S 0 R S d k 5 C L 0 F 1 d G 9 S Z W 1 v d m V k Q 2 9 s d W 1 u c z E u e 0 9 w Z 2 V n Z X Z l b i B q Z X V n Z G t v c n B z Z W 4 g T E c s N D d 9 J n F 1 b 3 Q 7 L C Z x d W 9 0 O 1 N l Y 3 R p b 2 4 x L 0 t E U n Z O Q i 9 B d X R v U m V t b 3 Z l Z E N v b H V t b n M x L n t U b 3 R h Y W w g Y W F u d G F s I G R l Z W x u Z W 1 l c n M s N D h 9 J n F 1 b 3 Q 7 L C Z x d W 9 0 O 1 N l Y 3 R p b 2 4 x L 0 t E U n Z O Q i 9 B d X R v U m V t b 3 Z l Z E N v b H V t b n M x L n t X Y W F y d m F u I G F h b n R h b C B q Z X V n Z C A o d C 9 t I D E 1 I G p h Y X I p L D Q 5 f S Z x d W 9 0 O y w m c X V v d D t T Z W N 0 a W 9 u M S 9 L R F J 2 T k I v Q X V 0 b 1 J l b W 9 2 Z W R D b 2 x 1 b W 5 z M S 5 7 S 2 F u b 2 4 g Z X R j L i w 1 M H 0 m c X V v d D s s J n F 1 b 3 Q 7 U 2 V j d G l v b j E v S 0 R S d k 5 C L 0 F 1 d G 9 S Z W 1 v d m V k Q 2 9 s d W 1 u c z E u e 1 B h Y X J k Z W 4 g Z W 4 v b 2 Y g a 2 9 l d H N l b i w 1 M X 0 m c X V v d D s s J n F 1 b 3 Q 7 U 2 V j d G l v b j E v S 0 R S d k 5 C L 0 F 1 d G 9 S Z W 1 v d m V k Q 2 9 s d W 1 u c z E u e 1 R v Z W x p Y 2 h 0 a W 5 n L 2 9 w b W V y a 2 l u Z 2 V u L D U y f S Z x d W 9 0 O y w m c X V v d D t T Z W N 0 a W 9 u M S 9 L R F J 2 T k I v Q X V 0 b 1 J l b W 9 2 Z W R D b 2 x 1 b W 5 z M S 5 7 S W 5 6 Z W 5 k a W 5 n L U l E L D U z f S Z x d W 9 0 O y w m c X V v d D t T Z W N 0 a W 9 u M S 9 L R F J 2 T k I v Q X V 0 b 1 J l b W 9 2 Z W R D b 2 x 1 b W 5 z M S 5 7 S W 5 6 Z W 5 k Z G F 0 d W 0 s N T R 9 J n F 1 b 3 Q 7 L C Z x d W 9 0 O 1 N l Y 3 R p b 2 4 x L 0 t E U n Z O Q i 9 B d X R v U m V t b 3 Z l Z E N v b H V t b n M x L n t E Y X R l I F V w Z G F 0 Z W Q s N T V 9 J n F 1 b 3 Q 7 L C Z x d W 9 0 O 1 N l Y 3 R p b 2 4 x L 0 t E U n Z O Q i 9 B d X R v U m V t b 3 Z l Z E N v b H V t b n M x L n t O Y W F t I H Z h b i B o Z X Q g a G 9 v Z m R r b 3 J w c y w 1 N n 0 m c X V v d D s s J n F 1 b 3 Q 7 U 2 V j d G l v b j E v S 0 R S d k 5 C L 0 F 1 d G 9 S Z W 1 v d m V k Q 2 9 s d W 1 u c z E u e 1 p h b C B v c C B 0 c m V k Z W 4 g Y W x z I C h o b 2 9 m Z G t v c n B z K S w 1 N 3 0 m c X V v d D s s J n F 1 b 3 Q 7 U 2 V j d G l v b j E v S 0 R S d k 5 C L 0 F 1 d G 9 S Z W 1 v d m V k Q 2 9 s d W 1 u c z E u e 1 Z v c m 0 g d m F u I H R 3 Z W U g b X V 6 a W V r d 2 V y a 2 V u I C h o b 2 9 m Z G t v c n B z K S w 1 O H 0 m c X V v d D s s J n F 1 b 3 Q 7 U 2 V j d G l v b j E v S 0 R S d k 5 C L 0 F 1 d G 9 S Z W 1 v d m V k Q 2 9 s d W 1 u c z E u e 1 p h b C B 1 a X R r b 2 1 l b i B p b i B k Z T o g K G h v b 2 Z k a 2 9 y c H M p L D U 5 f S Z x d W 9 0 O y w m c X V v d D t T Z W N 0 a W 9 u M S 9 L R F J 2 T k I v Q X V 0 b 1 J l b W 9 2 Z W R D b 2 x 1 b W 5 z M S 5 7 T X V 6 a W V r d 2 V y a z E g K G h v b 2 Z k a 2 9 y c H M p L D Y w f S Z x d W 9 0 O y w m c X V v d D t T Z W N 0 a W 9 u M S 9 L R F J 2 T k I v Q X V 0 b 1 J l b W 9 2 Z W R D b 2 x 1 b W 5 z M S 5 7 T X V 6 a W V r d 2 V y a z I g K G h v b 2 Z k a 2 9 y c H M p L D Y x f S Z x d W 9 0 O y w m c X V v d D t T Z W N 0 a W 9 u M S 9 L R F J 2 T k I v Q X V 0 b 1 J l b W 9 2 Z W R D b 2 x 1 b W 5 z M S 5 7 S 2 9 y c H M g Y m V z d G F h d C B 1 a X Q g L i 4 u I G R l Z W x u Z W 1 l c n M g K G h v b 2 Z k a 2 9 y c H M p L D Y y f S Z x d W 9 0 O y w m c X V v d D t T Z W N 0 a W 9 u M S 9 L R F J 2 T k I v Q X V 0 b 1 J l b W 9 2 Z W R D b 2 x 1 b W 5 z M S 5 7 T m F h b S B 2 Y W 4 g a G V 0 I D J l I G t v c n B z L D Y z f S Z x d W 9 0 O y w m c X V v d D t T Z W N 0 a W 9 u M S 9 L R F J 2 T k I v Q X V 0 b 1 J l b W 9 2 Z W R D b 2 x 1 b W 5 z M S 5 7 W m F s I G 9 w I H R y Z W R l b i B h b H M g K D J l I G t v c n B z K S w 2 N H 0 m c X V v d D s s J n F 1 b 3 Q 7 U 2 V j d G l v b j E v S 0 R S d k 5 C L 0 F 1 d G 9 S Z W 1 v d m V k Q 2 9 s d W 1 u c z E u e 1 Z v c m 0 g d m F u I H R 3 Z W U g b X V 6 a W V r d 2 V y a 2 V u I C g y Z S B r b 3 J w c y k s N j V 9 J n F 1 b 3 Q 7 L C Z x d W 9 0 O 1 N l Y 3 R p b 2 4 x L 0 t E U n Z O Q i 9 B d X R v U m V t b 3 Z l Z E N v b H V t b n M x L n t a Y W w g d W l 0 a 2 9 t Z W 4 g a W 4 g Z G U 6 I C g y Z S B r b 3 J w c y k s N j Z 9 J n F 1 b 3 Q 7 L C Z x d W 9 0 O 1 N l Y 3 R p b 2 4 x L 0 t E U n Z O Q i 9 B d X R v U m V t b 3 Z l Z E N v b H V t b n M x L n t N d X p p Z W t 3 Z X J r M S A o M m U g a 2 9 y c H M p L D Y 3 f S Z x d W 9 0 O y w m c X V v d D t T Z W N 0 a W 9 u M S 9 L R F J 2 T k I v Q X V 0 b 1 J l b W 9 2 Z W R D b 2 x 1 b W 5 z M S 5 7 T X V 6 a W V r d 2 V y a z I g K D J l I G t v c n B z K S w 2 O H 0 m c X V v d D s s J n F 1 b 3 Q 7 U 2 V j d G l v b j E v S 0 R S d k 5 C L 0 F 1 d G 9 S Z W 1 v d m V k Q 2 9 s d W 1 u c z E u e 0 t v c n B z I G J l c 3 R h Y X Q g d W l 0 I C 4 u L i B k Z W V s b m V t Z X J z I C g y Z S B r b 3 J w c y k s N j l 9 J n F 1 b 3 Q 7 L C Z x d W 9 0 O 1 N l Y 3 R p b 2 4 x L 0 t E U n Z O Q i 9 B d X R v U m V t b 3 Z l Z E N v b H V t b n M x L n t N Z W N o Y W 5 p c 2 N o Z S B t d X p p Z W s s N z B 9 J n F 1 b 3 Q 7 L C Z x d W 9 0 O 1 N l Y 3 R p b 2 4 x L 0 t E U n Z O Q i 9 B d X R v U m V t b 3 Z l Z E N v b H V t b n M x L n t P b m R l c m R l b G V u L D c x f S Z x d W 9 0 O y w m c X V v d D t T Z W N 0 a W 9 u M S 9 L R F J 2 T k I v Q X V 0 b 1 J l b W 9 2 Z W R D b 2 x 1 b W 5 z M S 5 7 U 2 V j d G l l c y w 3 M n 0 m c X V v d D s s J n F 1 b 3 Q 7 U 2 V j d G l v b j E v S 0 R S d k 5 C L 0 F 1 d G 9 S Z W 1 v d m V k Q 2 9 s d W 1 u c z E u e 0 x l Z W Z 0 a W p k c 2 N h d G V n b 3 J p Z S w 3 M 3 0 m c X V v d D s s J n F 1 b 3 Q 7 U 2 V j d G l v b j E v S 0 R S d k 5 C L 0 F 1 d G 9 S Z W 1 v d m V k Q 2 9 s d W 1 u c z E u e 0 F h b n R h b C B v c G d l Z 2 V 2 Z W 4 g b W F q b 3 J l d H R l c y w 3 N H 0 m c X V v d D t d L C Z x d W 9 0 O 1 J l b G F 0 a W 9 u c 2 h p c E l u Z m 8 m c X V v d D s 6 W 1 1 9 I i A v P j w v U 3 R h Y m x l R W 5 0 c m l l c z 4 8 L 0 l 0 Z W 0 + P E l 0 Z W 0 + P E l 0 Z W 1 M b 2 N h d G l v b j 4 8 S X R l b V R 5 c G U + R m 9 y b X V s Y T w v S X R l b V R 5 c G U + P E l 0 Z W 1 Q Y X R o P l N l Y 3 R p b 2 4 x L 0 t y a W 5 n Z G F n Z W 4 8 L 0 l 0 Z W 1 Q Y X R o P j w v S X R l b U x v Y 2 F 0 a W 9 u P j x T d G F i b G V F b n R y a W V z P j x F b n R y e S B U e X B l P S J C d W Z m Z X J O Z X h 0 U m V m c m V z a C I g V m F s d W U 9 I m w x 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M j U 2 N j I 5 M 2 Q t Y z c z N i 0 0 Z T Z j L T k 2 N D U t N T N l O T l i Z m Q y M T g w I i A v P j x F b n R y e S B U e X B l P S J S Z X N 1 b H R U e X B l I i B W Y W x 1 Z T 0 i c 1 R h Y m x l I i A v P j x F b n R y e S B U e X B l P S J O Y X Z p Z 2 F 0 a W 9 u U 3 R l c E 5 h b W U i I F Z h b H V l P S J z T m F 2 a W d h d G l l I i A v P j x F b n R y e S B U e X B l P S J G a W x s T 2 J q Z W N 0 V H l w Z S I g V m F s d W U 9 I n N U Y W J s Z S I g L z 4 8 R W 5 0 c n k g V H l w Z T 0 i T m F t Z V V w Z G F 0 Z W R B Z n R l c k Z p b G w i I F Z h b H V l P S J s M C I g L z 4 8 R W 5 0 c n k g V H l w Z T 0 i U m V j b 3 Z l c n l U Y X J n Z X R T a G V l d C I g V m F s d W U 9 I n N L c m l u Z 2 R h Z 2 V u I i A v P j x F b n R y e S B U e X B l P S J S Z W N v d m V y e V R h c m d l d E N v b H V t b i I g V m F s d W U 9 I m w x I i A v P j x F b n R y e S B U e X B l P S J S Z W N v d m V y e V R h c m d l d F J v d y I g V m F s d W U 9 I m w x M C I g L z 4 8 R W 5 0 c n k g V H l w Z T 0 i R m l s b F R h c m d l d C I g V m F s d W U 9 I n N L c m l u Z 2 R h Z 2 V u I i A v P j x F b n R y e S B U e X B l P S J M b 2 F k V G 9 S Z X B v c n R E a X N h Y m x l Z C I g V m F s d W U 9 I m w w I i A v P j x F b n R y e S B U e X B l P S J G a W x s T G F z d F V w Z G F 0 Z W Q i I F Z h b H V l P S J k M j A y N C 0 x M i 0 y M V Q x M j o 0 M j o 0 M S 4 3 M z g y O D Q w W i I g L z 4 8 R W 5 0 c n k g V H l w Z T 0 i R m l s b E V y c m 9 y Q 2 9 1 b n Q i I F Z h b H V l P S J s M C I g L z 4 8 R W 5 0 c n k g V H l w Z T 0 i R m l s b E N v b H V t b l R 5 c G V z I i B W Y W x 1 Z T 0 i c 0 J n W U d C Z 1 l H Q m d Z R E F 3 T U R B d 0 1 E Q X d Z R 0 J n T U R B d 0 1 E Q X d Z R 0 F 3 T U R B d 0 1 E Q X d N R E J n W U R C Z 0 1 H Q X d Z R E J n T U R B d 0 1 H Q m d Z R E J 3 Y 0 d C Z 1 l H Q m d Z R E J n W U d C Z 1 l H Q X d Z R 0 J n W U Q i I C 8 + P E V u d H J 5 I F R 5 c G U 9 I k Z p b G x F c n J v c k N v Z G U i I F Z h b H V l P S J z V W 5 r b m 9 3 b i I g L z 4 8 R W 5 0 c n k g V H l w Z T 0 i R m l s b E N v b H V t b k 5 h b W V z I i B W Y W x 1 Z T 0 i c 1 s m c X V v d D t L c m l u Z 2 R h Z y Z x d W 9 0 O y w m c X V v d D t W Z X I u b n I m c X V v d D s s J n F 1 b 3 Q 7 T m F h b S B 2 Z X J l b m l n a W 5 n J n F 1 b 3 Q 7 L C Z x d W 9 0 O 0 R l b G V n Y X R p Z S Z x d W 9 0 O y w m c X V v d D t N d X p p Z W t r b 3 J w c y B i a W o g b W F y c y B l b i B k Z W Z p b F x 1 M D B F O S Z x d W 9 0 O y w m c X V v d D t E Z W V s b i 4 g a m V 1 Z 2 R r b 2 5 p b m d z Y 2 h p Z X R l b i Z x d W 9 0 O y w m c X V v d D t N Y W o u I F N l b m l v c m V u I G p 1 c m V y Z W 4 g Y m l q I G 1 h c n M m c X V v d D s s J n F 1 b 3 Q 7 T W F q L i B K Z X V n Z C B q d X J l c m V u I G J p a i B t Y X J z J n F 1 b 3 Q 7 L C Z x d W 9 0 O 0 t v c n B z I H N l b m l v c m V u J n F 1 b 3 Q 7 L C Z x d W 9 0 O 0 p 1 b m l v c m V u I G t v c n B z I D E m c X V v d D s s J n F 1 b 3 Q 7 S n V u a W 9 y Z W 4 g a 2 9 y c H M g M i Z x d W 9 0 O y w m c X V v d D t B c 3 B p c m F u d G V u I G t v c n B z I D E m c X V v d D s s J n F 1 b 3 Q 7 Q X N w a X J h b n R l b i B r b 3 J w c y A y J n F 1 b 3 Q 7 L C Z x d W 9 0 O 0 F j c m 9 i Y X R p c 2 N o I H N l b m l v c m V u J n F 1 b 3 Q 7 L C Z x d W 9 0 O 0 F j c m 9 i Y X R p c 2 N o I G p 1 b m l v c m V u J n F 1 b 3 Q 7 L C Z x d W 9 0 O 0 F j c m 9 i Y X R p c 2 N o I G F z c G l y Y W 5 0 Z W 4 m c X V v d D s s J n F 1 b 3 Q 7 U 2 h v d y B z Z W 5 p b 3 J l b i Z x d W 9 0 O y w m c X V v d D t T a G 9 3 I G p 1 b m l v c m V u J n F 1 b 3 Q 7 L C Z x d W 9 0 O 1 N o b 3 c g Y X N w a X J h b n R l b i Z x d W 9 0 O y w m c X V v d D t T Z W 5 p b 3 J l b i B p b m R p d i 4 m c X V v d D s s J n F 1 b 3 Q 7 S n V u a W 9 y Z W 4 g a W 5 k a X Y u J n F 1 b 3 Q 7 L C Z x d W 9 0 O 0 F z c G l y Y W 5 0 Z W 4 g a W 5 k a X Y u J n F 1 b 3 Q 7 L C Z x d W 9 0 O 1 N l b i 4 g a W 5 k I G 9 w Z 2 V n Z X Z l b i B u Y W 1 l b i Z x d W 9 0 O y w m c X V v d D t K d W 4 u I G l u Z C B v c G d l Z 2 V 2 Z W 4 g b m F t Z W 4 m c X V v d D s s J n F 1 b 3 Q 7 Q X N w L i B p b m Q g b 3 B n Z W d l d m V u I G 5 h b W V u J n F 1 b 3 Q 7 L C Z x d W 9 0 O 0 h v b 2 Z k a 2 9 y c H M m c X V v d D s s J n F 1 b 3 Q 7 M m U g a 2 9 y c H M m c X V v d D s s J n F 1 b 3 Q 7 R 3 J v Z X B l b i w g d G V h b X M s I G V u c 2 V t Y m x l c y B l b i B k d W 9 c d T A w M j d z J n F 1 b 3 Q 7 L C Z x d W 9 0 O 1 N l b m l v c m V u J n F 1 b 3 Q 7 L C Z x d W 9 0 O 0 p v b m c g d m 9 s d 2 F z c 2 V u Z S Z x d W 9 0 O y w m c X V v d D t K d W 5 p b 3 J l b i Z x d W 9 0 O y w m c X V v d D t B c 3 B p c m F u d G V u J n F 1 b 3 Q 7 L C Z x d W 9 0 O 0 9 w Z 2 V n Z X Z l b i B z Z W 5 p b 3 J l b i Z x d W 9 0 O y w m c X V v d D t P c G d l Z 2 V 2 Z W 4 g a m 9 u Z y B 2 b 2 x 3 Y X N z Z W 5 l J n F 1 b 3 Q 7 L C Z x d W 9 0 O 0 9 w Z 2 V n Z X Z l b i B q d W 5 p b 3 J l b i Z x d W 9 0 O y w m c X V v d D t P c G d l Z 2 V 2 Z W 4 g Y X N w a X J h b n R l b i Z x d W 9 0 O y w m c X V v d D t N Y X J r Z X R l b n R z d G V y c y Z x d W 9 0 O y w m c X V v d D t M d W N o d G d l d 2 V l c i Z x d W 9 0 O y w m c X V v d D t B Y W 5 0 Y W w g b H V j a H R n Z X d l Z X J z Y 2 h 1 d H R l c n M m c X V v d D s s J n F 1 b 3 Q 7 T H V j a H R w a X N 0 b 2 9 s J n F 1 b 3 Q 7 L C Z x d W 9 0 O 0 F h b n R h b C B s d W N o d H B p c 3 R v b 2 x z Y 2 h 1 d H R l c n M m c X V v d D s s J n F 1 b 3 Q 7 S G F u Z G J v b 2 c m c X V v d D s s J n F 1 b 3 Q 7 Q W F u d G F s I G h h b m R i b 2 9 n c 2 N o d X R 0 Z X J z J n F 1 b 3 Q 7 L C Z x d W 9 0 O 0 t y d W l z Y m 9 v Z y Z x d W 9 0 O y w m c X V v d D t B Y W 5 0 Y W w g a 3 J 1 a X N i b 2 9 n c 2 N o d X R 0 Z X J z J n F 1 b 3 Q 7 L C Z x d W 9 0 O 0 x 1 Y 2 h 0 Z 2 V 3 Z W V y I G p l d W d k I G 5 p Z X Q g b 3 V k Z X I g Z G F u I D E 3 I G p h Y X I u J n F 1 b 3 Q 7 L C Z x d W 9 0 O 0 F h b n R h b C B r b 3 J w c 2 V u J n F 1 b 3 Q 7 L C Z x d W 9 0 O 0 9 w Z 2 V n Z X Z l b i B q Z X V n Z G t v c n B z Z W 4 g T E c m c X V v d D s s J n F 1 b 3 Q 7 V G 9 0 Y W F s I G F h b n R h b C B k Z W V s b m V t Z X J z J n F 1 b 3 Q 7 L C Z x d W 9 0 O 1 d h Y X J 2 Y W 4 g Y W F u d G F s I G p l d W d k I C h 0 L 2 0 g M T U g a m F h c i k m c X V v d D s s J n F 1 b 3 Q 7 S 2 F u b 2 4 g Z X R j L i Z x d W 9 0 O y w m c X V v d D t Q Y W F y Z G V u I G V u L 2 9 m I G t v Z X R z Z W 4 m c X V v d D s s J n F 1 b 3 Q 7 V G 9 l b G l j a H R p b m c v b 3 B t Z X J r a W 5 n Z W 4 m c X V v d D s s J n F 1 b 3 Q 7 S W 5 6 Z W 5 k a W 5 n L U l E J n F 1 b 3 Q 7 L C Z x d W 9 0 O 0 l u e m V u Z G R h d H V t J n F 1 b 3 Q 7 L C Z x d W 9 0 O 0 R h d G U g V X B k Y X R l Z C Z x d W 9 0 O y w m c X V v d D t O Y W F t I H Z h b i B o Z X Q g a G 9 v Z m R r b 3 J w c y Z x d W 9 0 O y w m c X V v d D t a Y W w g b 3 A g d H J l Z G V u I G F s c y A o a G 9 v Z m R r b 3 J w c y k m c X V v d D s s J n F 1 b 3 Q 7 V m 9 y b S B 2 Y W 4 g d H d l Z S B t d X p p Z W t 3 Z X J r Z W 4 g K G h v b 2 Z k a 2 9 y c H M p J n F 1 b 3 Q 7 L C Z x d W 9 0 O 1 p h b C B 1 a X R r b 2 1 l b i B p b i B k Z T o g K G h v b 2 Z k a 2 9 y c H M p J n F 1 b 3 Q 7 L C Z x d W 9 0 O 0 1 1 e m l l a 3 d l c m s x I C h o b 2 9 m Z G t v c n B z K S Z x d W 9 0 O y w m c X V v d D t N d X p p Z W t 3 Z X J r M i A o a G 9 v Z m R r b 3 J w c y k m c X V v d D s s J n F 1 b 3 Q 7 S 2 9 y c H M g Y m V z d G F h d C B 1 a X Q g L i 4 u I G R l Z W x u Z W 1 l c n M g K G h v b 2 Z k a 2 9 y c H M p J n F 1 b 3 Q 7 L C Z x d W 9 0 O 0 5 h Y W 0 g d m F u I G h l d C A y Z S B r b 3 J w c y Z x d W 9 0 O y w m c X V v d D t a Y W w g b 3 A g d H J l Z G V u I G F s c y A o M m U g a 2 9 y c H M p J n F 1 b 3 Q 7 L C Z x d W 9 0 O 1 Z v c m 0 g d m F u I H R 3 Z W U g b X V 6 a W V r d 2 V y a 2 V u I C g y Z S B r b 3 J w c y k m c X V v d D s s J n F 1 b 3 Q 7 W m F s I H V p d G t v b W V u I G l u I G R l O i A o M m U g a 2 9 y c H M p J n F 1 b 3 Q 7 L C Z x d W 9 0 O 0 1 1 e m l l a 3 d l c m s x I C g y Z S B r b 3 J w c y k m c X V v d D s s J n F 1 b 3 Q 7 T X V 6 a W V r d 2 V y a z I g K D J l I G t v c n B z K S Z x d W 9 0 O y w m c X V v d D t L b 3 J w c y B i Z X N 0 Y W F 0 I H V p d C A u L i 4 g Z G V l b G 5 l b W V y c y A o M m U g a 2 9 y c H M p J n F 1 b 3 Q 7 L C Z x d W 9 0 O 0 1 l Y 2 h h b m l z Y 2 h l I G 1 1 e m l l a y Z x d W 9 0 O y w m c X V v d D t P b m R l c m R l b G V u J n F 1 b 3 Q 7 L C Z x d W 9 0 O 1 N l Y 3 R p Z X M m c X V v d D s s J n F 1 b 3 Q 7 T G V l Z n R p a m R z Y 2 F 0 Z W d v c m l l J n F 1 b 3 Q 7 L C Z x d W 9 0 O 0 F h b n R h b C B v c G d l Z 2 V 2 Z W 4 g b W F q b 3 J l d H R l c y Z x d W 9 0 O 1 0 i I C 8 + P E V u d H J 5 I F R 5 c G U 9 I k Z p b G x D b 3 V u d C I g V m F s d W U 9 I m w 1 M S I g L z 4 8 R W 5 0 c n k g V H l w Z T 0 i R m l s b F N 0 Y X R 1 c y I g V m F s d W U 9 I n N D b 2 1 w b G V 0 Z S I g L z 4 8 R W 5 0 c n k g V H l w Z T 0 i Q W R k Z W R U b 0 R h d G F N b 2 R l b C I g V m F s d W U 9 I m w w I i A v P j x F b n R y e S B U e X B l P S J S Z W x h d G l v b n N o a X B J b m Z v Q 2 9 u d G F p b m V y I i B W Y W x 1 Z T 0 i c 3 s m c X V v d D t j b 2 x 1 b W 5 D b 3 V u d C Z x d W 9 0 O z o 3 N S w m c X V v d D t r Z X l D b 2 x 1 b W 5 O Y W 1 l c y Z x d W 9 0 O z p b X S w m c X V v d D t x d W V y e V J l b G F 0 a W 9 u c 2 h p c H M m c X V v d D s 6 W 1 0 s J n F 1 b 3 Q 7 Y 2 9 s d W 1 u S W R l b n R p d G l l c y Z x d W 9 0 O z p b J n F 1 b 3 Q 7 U 2 V j d G l v b j E v S 3 J p b m d k Y W d l b i 9 B d X R v U m V t b 3 Z l Z E N v b H V t b n M x L n t L c m l u Z 2 R h Z y w w f S Z x d W 9 0 O y w m c X V v d D t T Z W N 0 a W 9 u M S 9 L c m l u Z 2 R h Z 2 V u L 0 F 1 d G 9 S Z W 1 v d m V k Q 2 9 s d W 1 u c z E u e 1 Z l c i 5 u c i w x f S Z x d W 9 0 O y w m c X V v d D t T Z W N 0 a W 9 u M S 9 L c m l u Z 2 R h Z 2 V u L 0 F 1 d G 9 S Z W 1 v d m V k Q 2 9 s d W 1 u c z E u e 0 5 h Y W 0 g d m V y Z W 5 p Z 2 l u Z y w y f S Z x d W 9 0 O y w m c X V v d D t T Z W N 0 a W 9 u M S 9 L c m l u Z 2 R h Z 2 V u L 0 F 1 d G 9 S Z W 1 v d m V k Q 2 9 s d W 1 u c z E u e 0 R l b G V n Y X R p Z S w z f S Z x d W 9 0 O y w m c X V v d D t T Z W N 0 a W 9 u M S 9 L c m l u Z 2 R h Z 2 V u L 0 F 1 d G 9 S Z W 1 v d m V k Q 2 9 s d W 1 u c z E u e 0 1 1 e m l l a 2 t v c n B z I G J p a i B t Y X J z I G V u I G R l Z m l s X H U w M E U 5 L D R 9 J n F 1 b 3 Q 7 L C Z x d W 9 0 O 1 N l Y 3 R p b 2 4 x L 0 t y a W 5 n Z G F n Z W 4 v Q X V 0 b 1 J l b W 9 2 Z W R D b 2 x 1 b W 5 z M S 5 7 R G V l b G 4 u I G p l d W d k a 2 9 u a W 5 n c 2 N o a W V 0 Z W 4 s N X 0 m c X V v d D s s J n F 1 b 3 Q 7 U 2 V j d G l v b j E v S 3 J p b m d k Y W d l b i 9 B d X R v U m V t b 3 Z l Z E N v b H V t b n M x L n t N Y W o u I F N l b m l v c m V u I G p 1 c m V y Z W 4 g Y m l q I G 1 h c n M s N n 0 m c X V v d D s s J n F 1 b 3 Q 7 U 2 V j d G l v b j E v S 3 J p b m d k Y W d l b i 9 B d X R v U m V t b 3 Z l Z E N v b H V t b n M x L n t N Y W o u I E p l d W d k I G p 1 c m V y Z W 4 g Y m l q I G 1 h c n M s N 3 0 m c X V v d D s s J n F 1 b 3 Q 7 U 2 V j d G l v b j E v S 3 J p b m d k Y W d l b i 9 B d X R v U m V t b 3 Z l Z E N v b H V t b n M x L n t L b 3 J w c y B z Z W 5 p b 3 J l b i w 4 f S Z x d W 9 0 O y w m c X V v d D t T Z W N 0 a W 9 u M S 9 L c m l u Z 2 R h Z 2 V u L 0 F 1 d G 9 S Z W 1 v d m V k Q 2 9 s d W 1 u c z E u e 0 p 1 b m l v c m V u I G t v c n B z I D E s O X 0 m c X V v d D s s J n F 1 b 3 Q 7 U 2 V j d G l v b j E v S 3 J p b m d k Y W d l b i 9 B d X R v U m V t b 3 Z l Z E N v b H V t b n M x L n t K d W 5 p b 3 J l b i B r b 3 J w c y A y L D E w f S Z x d W 9 0 O y w m c X V v d D t T Z W N 0 a W 9 u M S 9 L c m l u Z 2 R h Z 2 V u L 0 F 1 d G 9 S Z W 1 v d m V k Q 2 9 s d W 1 u c z E u e 0 F z c G l y Y W 5 0 Z W 4 g a 2 9 y c H M g M S w x M X 0 m c X V v d D s s J n F 1 b 3 Q 7 U 2 V j d G l v b j E v S 3 J p b m d k Y W d l b i 9 B d X R v U m V t b 3 Z l Z E N v b H V t b n M x L n t B c 3 B p c m F u d G V u I G t v c n B z I D I s M T J 9 J n F 1 b 3 Q 7 L C Z x d W 9 0 O 1 N l Y 3 R p b 2 4 x L 0 t y a W 5 n Z G F n Z W 4 v Q X V 0 b 1 J l b W 9 2 Z W R D b 2 x 1 b W 5 z M S 5 7 Q W N y b 2 J h d G l z Y 2 g g c 2 V u a W 9 y Z W 4 s M T N 9 J n F 1 b 3 Q 7 L C Z x d W 9 0 O 1 N l Y 3 R p b 2 4 x L 0 t y a W 5 n Z G F n Z W 4 v Q X V 0 b 1 J l b W 9 2 Z W R D b 2 x 1 b W 5 z M S 5 7 Q W N y b 2 J h d G l z Y 2 g g a n V u a W 9 y Z W 4 s M T R 9 J n F 1 b 3 Q 7 L C Z x d W 9 0 O 1 N l Y 3 R p b 2 4 x L 0 t y a W 5 n Z G F n Z W 4 v Q X V 0 b 1 J l b W 9 2 Z W R D b 2 x 1 b W 5 z M S 5 7 Q W N y b 2 J h d G l z Y 2 g g Y X N w a X J h b n R l b i w x N X 0 m c X V v d D s s J n F 1 b 3 Q 7 U 2 V j d G l v b j E v S 3 J p b m d k Y W d l b i 9 B d X R v U m V t b 3 Z l Z E N v b H V t b n M x L n t T a G 9 3 I H N l b m l v c m V u L D E 2 f S Z x d W 9 0 O y w m c X V v d D t T Z W N 0 a W 9 u M S 9 L c m l u Z 2 R h Z 2 V u L 0 F 1 d G 9 S Z W 1 v d m V k Q 2 9 s d W 1 u c z E u e 1 N o b 3 c g a n V u a W 9 y Z W 4 s M T d 9 J n F 1 b 3 Q 7 L C Z x d W 9 0 O 1 N l Y 3 R p b 2 4 x L 0 t y a W 5 n Z G F n Z W 4 v Q X V 0 b 1 J l b W 9 2 Z W R D b 2 x 1 b W 5 z M S 5 7 U 2 h v d y B h c 3 B p c m F u d G V u L D E 4 f S Z x d W 9 0 O y w m c X V v d D t T Z W N 0 a W 9 u M S 9 L c m l u Z 2 R h Z 2 V u L 0 F 1 d G 9 S Z W 1 v d m V k Q 2 9 s d W 1 u c z E u e 1 N l b m l v c m V u I G l u Z G l 2 L i w x O X 0 m c X V v d D s s J n F 1 b 3 Q 7 U 2 V j d G l v b j E v S 3 J p b m d k Y W d l b i 9 B d X R v U m V t b 3 Z l Z E N v b H V t b n M x L n t K d W 5 p b 3 J l b i B p b m R p d i 4 s M j B 9 J n F 1 b 3 Q 7 L C Z x d W 9 0 O 1 N l Y 3 R p b 2 4 x L 0 t y a W 5 n Z G F n Z W 4 v Q X V 0 b 1 J l b W 9 2 Z W R D b 2 x 1 b W 5 z M S 5 7 Q X N w a X J h b n R l b i B p b m R p d i 4 s M j F 9 J n F 1 b 3 Q 7 L C Z x d W 9 0 O 1 N l Y 3 R p b 2 4 x L 0 t y a W 5 n Z G F n Z W 4 v Q X V 0 b 1 J l b W 9 2 Z W R D b 2 x 1 b W 5 z M S 5 7 U 2 V u L i B p b m Q g b 3 B n Z W d l d m V u I G 5 h b W V u L D I y f S Z x d W 9 0 O y w m c X V v d D t T Z W N 0 a W 9 u M S 9 L c m l u Z 2 R h Z 2 V u L 0 F 1 d G 9 S Z W 1 v d m V k Q 2 9 s d W 1 u c z E u e 0 p 1 b i 4 g a W 5 k I G 9 w Z 2 V n Z X Z l b i B u Y W 1 l b i w y M 3 0 m c X V v d D s s J n F 1 b 3 Q 7 U 2 V j d G l v b j E v S 3 J p b m d k Y W d l b i 9 B d X R v U m V t b 3 Z l Z E N v b H V t b n M x L n t B c 3 A u I G l u Z C B v c G d l Z 2 V 2 Z W 4 g b m F t Z W 4 s M j R 9 J n F 1 b 3 Q 7 L C Z x d W 9 0 O 1 N l Y 3 R p b 2 4 x L 0 t y a W 5 n Z G F n Z W 4 v Q X V 0 b 1 J l b W 9 2 Z W R D b 2 x 1 b W 5 z M S 5 7 S G 9 v Z m R r b 3 J w c y w y N X 0 m c X V v d D s s J n F 1 b 3 Q 7 U 2 V j d G l v b j E v S 3 J p b m d k Y W d l b i 9 B d X R v U m V t b 3 Z l Z E N v b H V t b n M x L n s y Z S B r b 3 J w c y w y N n 0 m c X V v d D s s J n F 1 b 3 Q 7 U 2 V j d G l v b j E v S 3 J p b m d k Y W d l b i 9 B d X R v U m V t b 3 Z l Z E N v b H V t b n M x L n t H c m 9 l c G V u L C B 0 Z W F t c y w g Z W 5 z Z W 1 i b G V z I G V u I G R 1 b 1 x 1 M D A y N 3 M s M j d 9 J n F 1 b 3 Q 7 L C Z x d W 9 0 O 1 N l Y 3 R p b 2 4 x L 0 t y a W 5 n Z G F n Z W 4 v Q X V 0 b 1 J l b W 9 2 Z W R D b 2 x 1 b W 5 z M S 5 7 U 2 V u a W 9 y Z W 4 s M j h 9 J n F 1 b 3 Q 7 L C Z x d W 9 0 O 1 N l Y 3 R p b 2 4 x L 0 t y a W 5 n Z G F n Z W 4 v Q X V 0 b 1 J l b W 9 2 Z W R D b 2 x 1 b W 5 z M S 5 7 S m 9 u Z y B 2 b 2 x 3 Y X N z Z W 5 l L D I 5 f S Z x d W 9 0 O y w m c X V v d D t T Z W N 0 a W 9 u M S 9 L c m l u Z 2 R h Z 2 V u L 0 F 1 d G 9 S Z W 1 v d m V k Q 2 9 s d W 1 u c z E u e 0 p 1 b m l v c m V u L D M w f S Z x d W 9 0 O y w m c X V v d D t T Z W N 0 a W 9 u M S 9 L c m l u Z 2 R h Z 2 V u L 0 F 1 d G 9 S Z W 1 v d m V k Q 2 9 s d W 1 u c z E u e 0 F z c G l y Y W 5 0 Z W 4 s M z F 9 J n F 1 b 3 Q 7 L C Z x d W 9 0 O 1 N l Y 3 R p b 2 4 x L 0 t y a W 5 n Z G F n Z W 4 v Q X V 0 b 1 J l b W 9 2 Z W R D b 2 x 1 b W 5 z M S 5 7 T 3 B n Z W d l d m V u I H N l b m l v c m V u L D M y f S Z x d W 9 0 O y w m c X V v d D t T Z W N 0 a W 9 u M S 9 L c m l u Z 2 R h Z 2 V u L 0 F 1 d G 9 S Z W 1 v d m V k Q 2 9 s d W 1 u c z E u e 0 9 w Z 2 V n Z X Z l b i B q b 2 5 n I H Z v b H d h c 3 N l b m U s M z N 9 J n F 1 b 3 Q 7 L C Z x d W 9 0 O 1 N l Y 3 R p b 2 4 x L 0 t y a W 5 n Z G F n Z W 4 v Q X V 0 b 1 J l b W 9 2 Z W R D b 2 x 1 b W 5 z M S 5 7 T 3 B n Z W d l d m V u I G p 1 b m l v c m V u L D M 0 f S Z x d W 9 0 O y w m c X V v d D t T Z W N 0 a W 9 u M S 9 L c m l u Z 2 R h Z 2 V u L 0 F 1 d G 9 S Z W 1 v d m V k Q 2 9 s d W 1 u c z E u e 0 9 w Z 2 V n Z X Z l b i B h c 3 B p c m F u d G V u L D M 1 f S Z x d W 9 0 O y w m c X V v d D t T Z W N 0 a W 9 u M S 9 L c m l u Z 2 R h Z 2 V u L 0 F 1 d G 9 S Z W 1 v d m V k Q 2 9 s d W 1 u c z E u e 0 1 h c m t l d G V u d H N 0 Z X J z L D M 2 f S Z x d W 9 0 O y w m c X V v d D t T Z W N 0 a W 9 u M S 9 L c m l u Z 2 R h Z 2 V u L 0 F 1 d G 9 S Z W 1 v d m V k Q 2 9 s d W 1 u c z E u e 0 x 1 Y 2 h 0 Z 2 V 3 Z W V y L D M 3 f S Z x d W 9 0 O y w m c X V v d D t T Z W N 0 a W 9 u M S 9 L c m l u Z 2 R h Z 2 V u L 0 F 1 d G 9 S Z W 1 v d m V k Q 2 9 s d W 1 u c z E u e 0 F h b n R h b C B s d W N o d G d l d 2 V l c n N j a H V 0 d G V y c y w z O H 0 m c X V v d D s s J n F 1 b 3 Q 7 U 2 V j d G l v b j E v S 3 J p b m d k Y W d l b i 9 B d X R v U m V t b 3 Z l Z E N v b H V t b n M x L n t M d W N o d H B p c 3 R v b 2 w s M z l 9 J n F 1 b 3 Q 7 L C Z x d W 9 0 O 1 N l Y 3 R p b 2 4 x L 0 t y a W 5 n Z G F n Z W 4 v Q X V 0 b 1 J l b W 9 2 Z W R D b 2 x 1 b W 5 z M S 5 7 Q W F u d G F s I G x 1 Y 2 h 0 c G l z d G 9 v b H N j a H V 0 d G V y c y w 0 M H 0 m c X V v d D s s J n F 1 b 3 Q 7 U 2 V j d G l v b j E v S 3 J p b m d k Y W d l b i 9 B d X R v U m V t b 3 Z l Z E N v b H V t b n M x L n t I Y W 5 k Y m 9 v Z y w 0 M X 0 m c X V v d D s s J n F 1 b 3 Q 7 U 2 V j d G l v b j E v S 3 J p b m d k Y W d l b i 9 B d X R v U m V t b 3 Z l Z E N v b H V t b n M x L n t B Y W 5 0 Y W w g a G F u Z G J v b 2 d z Y 2 h 1 d H R l c n M s N D J 9 J n F 1 b 3 Q 7 L C Z x d W 9 0 O 1 N l Y 3 R p b 2 4 x L 0 t y a W 5 n Z G F n Z W 4 v Q X V 0 b 1 J l b W 9 2 Z W R D b 2 x 1 b W 5 z M S 5 7 S 3 J 1 a X N i b 2 9 n L D Q z f S Z x d W 9 0 O y w m c X V v d D t T Z W N 0 a W 9 u M S 9 L c m l u Z 2 R h Z 2 V u L 0 F 1 d G 9 S Z W 1 v d m V k Q 2 9 s d W 1 u c z E u e 0 F h b n R h b C B r c n V p c 2 J v b 2 d z Y 2 h 1 d H R l c n M s N D R 9 J n F 1 b 3 Q 7 L C Z x d W 9 0 O 1 N l Y 3 R p b 2 4 x L 0 t y a W 5 n Z G F n Z W 4 v Q X V 0 b 1 J l b W 9 2 Z W R D b 2 x 1 b W 5 z M S 5 7 T H V j a H R n Z X d l Z X I g a m V 1 Z 2 Q g b m l l d C B v d W R l c i B k Y W 4 g M T c g a m F h c i 4 s N D V 9 J n F 1 b 3 Q 7 L C Z x d W 9 0 O 1 N l Y 3 R p b 2 4 x L 0 t y a W 5 n Z G F n Z W 4 v Q X V 0 b 1 J l b W 9 2 Z W R D b 2 x 1 b W 5 z M S 5 7 Q W F u d G F s I G t v c n B z Z W 4 s N D Z 9 J n F 1 b 3 Q 7 L C Z x d W 9 0 O 1 N l Y 3 R p b 2 4 x L 0 t y a W 5 n Z G F n Z W 4 v Q X V 0 b 1 J l b W 9 2 Z W R D b 2 x 1 b W 5 z M S 5 7 T 3 B n Z W d l d m V u I G p l d W d k a 2 9 y c H N l b i B M R y w 0 N 3 0 m c X V v d D s s J n F 1 b 3 Q 7 U 2 V j d G l v b j E v S 3 J p b m d k Y W d l b i 9 B d X R v U m V t b 3 Z l Z E N v b H V t b n M x L n t U b 3 R h Y W w g Y W F u d G F s I G R l Z W x u Z W 1 l c n M s N D h 9 J n F 1 b 3 Q 7 L C Z x d W 9 0 O 1 N l Y 3 R p b 2 4 x L 0 t y a W 5 n Z G F n Z W 4 v Q X V 0 b 1 J l b W 9 2 Z W R D b 2 x 1 b W 5 z M S 5 7 V 2 F h c n Z h b i B h Y W 5 0 Y W w g a m V 1 Z 2 Q g K H Q v b S A x N S B q Y W F y K S w 0 O X 0 m c X V v d D s s J n F 1 b 3 Q 7 U 2 V j d G l v b j E v S 3 J p b m d k Y W d l b i 9 B d X R v U m V t b 3 Z l Z E N v b H V t b n M x L n t L Y W 5 v b i B l d G M u L D U w f S Z x d W 9 0 O y w m c X V v d D t T Z W N 0 a W 9 u M S 9 L c m l u Z 2 R h Z 2 V u L 0 F 1 d G 9 S Z W 1 v d m V k Q 2 9 s d W 1 u c z E u e 1 B h Y X J k Z W 4 g Z W 4 v b 2 Y g a 2 9 l d H N l b i w 1 M X 0 m c X V v d D s s J n F 1 b 3 Q 7 U 2 V j d G l v b j E v S 3 J p b m d k Y W d l b i 9 B d X R v U m V t b 3 Z l Z E N v b H V t b n M x L n t U b 2 V s a W N o d G l u Z y 9 v c G 1 l c m t p b m d l b i w 1 M n 0 m c X V v d D s s J n F 1 b 3 Q 7 U 2 V j d G l v b j E v S 3 J p b m d k Y W d l b i 9 B d X R v U m V t b 3 Z l Z E N v b H V t b n M x L n t J b n p l b m R p b m c t S U Q s N T N 9 J n F 1 b 3 Q 7 L C Z x d W 9 0 O 1 N l Y 3 R p b 2 4 x L 0 t y a W 5 n Z G F n Z W 4 v Q X V 0 b 1 J l b W 9 2 Z W R D b 2 x 1 b W 5 z M S 5 7 S W 5 6 Z W 5 k Z G F 0 d W 0 s N T R 9 J n F 1 b 3 Q 7 L C Z x d W 9 0 O 1 N l Y 3 R p b 2 4 x L 0 t y a W 5 n Z G F n Z W 4 v Q X V 0 b 1 J l b W 9 2 Z W R D b 2 x 1 b W 5 z M S 5 7 R G F 0 Z S B V c G R h d G V k L D U 1 f S Z x d W 9 0 O y w m c X V v d D t T Z W N 0 a W 9 u M S 9 L c m l u Z 2 R h Z 2 V u L 0 F 1 d G 9 S Z W 1 v d m V k Q 2 9 s d W 1 u c z E u e 0 5 h Y W 0 g d m F u I G h l d C B o b 2 9 m Z G t v c n B z L D U 2 f S Z x d W 9 0 O y w m c X V v d D t T Z W N 0 a W 9 u M S 9 L c m l u Z 2 R h Z 2 V u L 0 F 1 d G 9 S Z W 1 v d m V k Q 2 9 s d W 1 u c z E u e 1 p h b C B v c C B 0 c m V k Z W 4 g Y W x z I C h o b 2 9 m Z G t v c n B z K S w 1 N 3 0 m c X V v d D s s J n F 1 b 3 Q 7 U 2 V j d G l v b j E v S 3 J p b m d k Y W d l b i 9 B d X R v U m V t b 3 Z l Z E N v b H V t b n M x L n t W b 3 J t I H Z h b i B 0 d 2 V l I G 1 1 e m l l a 3 d l c m t l b i A o a G 9 v Z m R r b 3 J w c y k s N T h 9 J n F 1 b 3 Q 7 L C Z x d W 9 0 O 1 N l Y 3 R p b 2 4 x L 0 t y a W 5 n Z G F n Z W 4 v Q X V 0 b 1 J l b W 9 2 Z W R D b 2 x 1 b W 5 z M S 5 7 W m F s I H V p d G t v b W V u I G l u I G R l O i A o a G 9 v Z m R r b 3 J w c y k s N T l 9 J n F 1 b 3 Q 7 L C Z x d W 9 0 O 1 N l Y 3 R p b 2 4 x L 0 t y a W 5 n Z G F n Z W 4 v Q X V 0 b 1 J l b W 9 2 Z W R D b 2 x 1 b W 5 z M S 5 7 T X V 6 a W V r d 2 V y a z E g K G h v b 2 Z k a 2 9 y c H M p L D Y w f S Z x d W 9 0 O y w m c X V v d D t T Z W N 0 a W 9 u M S 9 L c m l u Z 2 R h Z 2 V u L 0 F 1 d G 9 S Z W 1 v d m V k Q 2 9 s d W 1 u c z E u e 0 1 1 e m l l a 3 d l c m s y I C h o b 2 9 m Z G t v c n B z K S w 2 M X 0 m c X V v d D s s J n F 1 b 3 Q 7 U 2 V j d G l v b j E v S 3 J p b m d k Y W d l b i 9 B d X R v U m V t b 3 Z l Z E N v b H V t b n M x L n t L b 3 J w c y B i Z X N 0 Y W F 0 I H V p d C A u L i 4 g Z G V l b G 5 l b W V y c y A o a G 9 v Z m R r b 3 J w c y k s N j J 9 J n F 1 b 3 Q 7 L C Z x d W 9 0 O 1 N l Y 3 R p b 2 4 x L 0 t y a W 5 n Z G F n Z W 4 v Q X V 0 b 1 J l b W 9 2 Z W R D b 2 x 1 b W 5 z M S 5 7 T m F h b S B 2 Y W 4 g a G V 0 I D J l I G t v c n B z L D Y z f S Z x d W 9 0 O y w m c X V v d D t T Z W N 0 a W 9 u M S 9 L c m l u Z 2 R h Z 2 V u L 0 F 1 d G 9 S Z W 1 v d m V k Q 2 9 s d W 1 u c z E u e 1 p h b C B v c C B 0 c m V k Z W 4 g Y W x z I C g y Z S B r b 3 J w c y k s N j R 9 J n F 1 b 3 Q 7 L C Z x d W 9 0 O 1 N l Y 3 R p b 2 4 x L 0 t y a W 5 n Z G F n Z W 4 v Q X V 0 b 1 J l b W 9 2 Z W R D b 2 x 1 b W 5 z M S 5 7 V m 9 y b S B 2 Y W 4 g d H d l Z S B t d X p p Z W t 3 Z X J r Z W 4 g K D J l I G t v c n B z K S w 2 N X 0 m c X V v d D s s J n F 1 b 3 Q 7 U 2 V j d G l v b j E v S 3 J p b m d k Y W d l b i 9 B d X R v U m V t b 3 Z l Z E N v b H V t b n M x L n t a Y W w g d W l 0 a 2 9 t Z W 4 g a W 4 g Z G U 6 I C g y Z S B r b 3 J w c y k s N j Z 9 J n F 1 b 3 Q 7 L C Z x d W 9 0 O 1 N l Y 3 R p b 2 4 x L 0 t y a W 5 n Z G F n Z W 4 v Q X V 0 b 1 J l b W 9 2 Z W R D b 2 x 1 b W 5 z M S 5 7 T X V 6 a W V r d 2 V y a z E g K D J l I G t v c n B z K S w 2 N 3 0 m c X V v d D s s J n F 1 b 3 Q 7 U 2 V j d G l v b j E v S 3 J p b m d k Y W d l b i 9 B d X R v U m V t b 3 Z l Z E N v b H V t b n M x L n t N d X p p Z W t 3 Z X J r M i A o M m U g a 2 9 y c H M p L D Y 4 f S Z x d W 9 0 O y w m c X V v d D t T Z W N 0 a W 9 u M S 9 L c m l u Z 2 R h Z 2 V u L 0 F 1 d G 9 S Z W 1 v d m V k Q 2 9 s d W 1 u c z E u e 0 t v c n B z I G J l c 3 R h Y X Q g d W l 0 I C 4 u L i B k Z W V s b m V t Z X J z I C g y Z S B r b 3 J w c y k s N j l 9 J n F 1 b 3 Q 7 L C Z x d W 9 0 O 1 N l Y 3 R p b 2 4 x L 0 t y a W 5 n Z G F n Z W 4 v Q X V 0 b 1 J l b W 9 2 Z W R D b 2 x 1 b W 5 z M S 5 7 T W V j a G F u a X N j a G U g b X V 6 a W V r L D c w f S Z x d W 9 0 O y w m c X V v d D t T Z W N 0 a W 9 u M S 9 L c m l u Z 2 R h Z 2 V u L 0 F 1 d G 9 S Z W 1 v d m V k Q 2 9 s d W 1 u c z E u e 0 9 u Z G V y Z G V s Z W 4 s N z F 9 J n F 1 b 3 Q 7 L C Z x d W 9 0 O 1 N l Y 3 R p b 2 4 x L 0 t y a W 5 n Z G F n Z W 4 v Q X V 0 b 1 J l b W 9 2 Z W R D b 2 x 1 b W 5 z M S 5 7 U 2 V j d G l l c y w 3 M n 0 m c X V v d D s s J n F 1 b 3 Q 7 U 2 V j d G l v b j E v S 3 J p b m d k Y W d l b i 9 B d X R v U m V t b 3 Z l Z E N v b H V t b n M x L n t M Z W V m d G l q Z H N j Y X R l Z 2 9 y a W U s N z N 9 J n F 1 b 3 Q 7 L C Z x d W 9 0 O 1 N l Y 3 R p b 2 4 x L 0 t y a W 5 n Z G F n Z W 4 v Q X V 0 b 1 J l b W 9 2 Z W R D b 2 x 1 b W 5 z M S 5 7 Q W F u d G F s I G 9 w Z 2 V n Z X Z l b i B t Y W p v c m V 0 d G V z L D c 0 f S Z x d W 9 0 O 1 0 s J n F 1 b 3 Q 7 Q 2 9 s d W 1 u Q 2 9 1 b n Q m c X V v d D s 6 N z U s J n F 1 b 3 Q 7 S 2 V 5 Q 2 9 s d W 1 u T m F t Z X M m c X V v d D s 6 W 1 0 s J n F 1 b 3 Q 7 Q 2 9 s d W 1 u S W R l b n R p d G l l c y Z x d W 9 0 O z p b J n F 1 b 3 Q 7 U 2 V j d G l v b j E v S 3 J p b m d k Y W d l b i 9 B d X R v U m V t b 3 Z l Z E N v b H V t b n M x L n t L c m l u Z 2 R h Z y w w f S Z x d W 9 0 O y w m c X V v d D t T Z W N 0 a W 9 u M S 9 L c m l u Z 2 R h Z 2 V u L 0 F 1 d G 9 S Z W 1 v d m V k Q 2 9 s d W 1 u c z E u e 1 Z l c i 5 u c i w x f S Z x d W 9 0 O y w m c X V v d D t T Z W N 0 a W 9 u M S 9 L c m l u Z 2 R h Z 2 V u L 0 F 1 d G 9 S Z W 1 v d m V k Q 2 9 s d W 1 u c z E u e 0 5 h Y W 0 g d m V y Z W 5 p Z 2 l u Z y w y f S Z x d W 9 0 O y w m c X V v d D t T Z W N 0 a W 9 u M S 9 L c m l u Z 2 R h Z 2 V u L 0 F 1 d G 9 S Z W 1 v d m V k Q 2 9 s d W 1 u c z E u e 0 R l b G V n Y X R p Z S w z f S Z x d W 9 0 O y w m c X V v d D t T Z W N 0 a W 9 u M S 9 L c m l u Z 2 R h Z 2 V u L 0 F 1 d G 9 S Z W 1 v d m V k Q 2 9 s d W 1 u c z E u e 0 1 1 e m l l a 2 t v c n B z I G J p a i B t Y X J z I G V u I G R l Z m l s X H U w M E U 5 L D R 9 J n F 1 b 3 Q 7 L C Z x d W 9 0 O 1 N l Y 3 R p b 2 4 x L 0 t y a W 5 n Z G F n Z W 4 v Q X V 0 b 1 J l b W 9 2 Z W R D b 2 x 1 b W 5 z M S 5 7 R G V l b G 4 u I G p l d W d k a 2 9 u a W 5 n c 2 N o a W V 0 Z W 4 s N X 0 m c X V v d D s s J n F 1 b 3 Q 7 U 2 V j d G l v b j E v S 3 J p b m d k Y W d l b i 9 B d X R v U m V t b 3 Z l Z E N v b H V t b n M x L n t N Y W o u I F N l b m l v c m V u I G p 1 c m V y Z W 4 g Y m l q I G 1 h c n M s N n 0 m c X V v d D s s J n F 1 b 3 Q 7 U 2 V j d G l v b j E v S 3 J p b m d k Y W d l b i 9 B d X R v U m V t b 3 Z l Z E N v b H V t b n M x L n t N Y W o u I E p l d W d k I G p 1 c m V y Z W 4 g Y m l q I G 1 h c n M s N 3 0 m c X V v d D s s J n F 1 b 3 Q 7 U 2 V j d G l v b j E v S 3 J p b m d k Y W d l b i 9 B d X R v U m V t b 3 Z l Z E N v b H V t b n M x L n t L b 3 J w c y B z Z W 5 p b 3 J l b i w 4 f S Z x d W 9 0 O y w m c X V v d D t T Z W N 0 a W 9 u M S 9 L c m l u Z 2 R h Z 2 V u L 0 F 1 d G 9 S Z W 1 v d m V k Q 2 9 s d W 1 u c z E u e 0 p 1 b m l v c m V u I G t v c n B z I D E s O X 0 m c X V v d D s s J n F 1 b 3 Q 7 U 2 V j d G l v b j E v S 3 J p b m d k Y W d l b i 9 B d X R v U m V t b 3 Z l Z E N v b H V t b n M x L n t K d W 5 p b 3 J l b i B r b 3 J w c y A y L D E w f S Z x d W 9 0 O y w m c X V v d D t T Z W N 0 a W 9 u M S 9 L c m l u Z 2 R h Z 2 V u L 0 F 1 d G 9 S Z W 1 v d m V k Q 2 9 s d W 1 u c z E u e 0 F z c G l y Y W 5 0 Z W 4 g a 2 9 y c H M g M S w x M X 0 m c X V v d D s s J n F 1 b 3 Q 7 U 2 V j d G l v b j E v S 3 J p b m d k Y W d l b i 9 B d X R v U m V t b 3 Z l Z E N v b H V t b n M x L n t B c 3 B p c m F u d G V u I G t v c n B z I D I s M T J 9 J n F 1 b 3 Q 7 L C Z x d W 9 0 O 1 N l Y 3 R p b 2 4 x L 0 t y a W 5 n Z G F n Z W 4 v Q X V 0 b 1 J l b W 9 2 Z W R D b 2 x 1 b W 5 z M S 5 7 Q W N y b 2 J h d G l z Y 2 g g c 2 V u a W 9 y Z W 4 s M T N 9 J n F 1 b 3 Q 7 L C Z x d W 9 0 O 1 N l Y 3 R p b 2 4 x L 0 t y a W 5 n Z G F n Z W 4 v Q X V 0 b 1 J l b W 9 2 Z W R D b 2 x 1 b W 5 z M S 5 7 Q W N y b 2 J h d G l z Y 2 g g a n V u a W 9 y Z W 4 s M T R 9 J n F 1 b 3 Q 7 L C Z x d W 9 0 O 1 N l Y 3 R p b 2 4 x L 0 t y a W 5 n Z G F n Z W 4 v Q X V 0 b 1 J l b W 9 2 Z W R D b 2 x 1 b W 5 z M S 5 7 Q W N y b 2 J h d G l z Y 2 g g Y X N w a X J h b n R l b i w x N X 0 m c X V v d D s s J n F 1 b 3 Q 7 U 2 V j d G l v b j E v S 3 J p b m d k Y W d l b i 9 B d X R v U m V t b 3 Z l Z E N v b H V t b n M x L n t T a G 9 3 I H N l b m l v c m V u L D E 2 f S Z x d W 9 0 O y w m c X V v d D t T Z W N 0 a W 9 u M S 9 L c m l u Z 2 R h Z 2 V u L 0 F 1 d G 9 S Z W 1 v d m V k Q 2 9 s d W 1 u c z E u e 1 N o b 3 c g a n V u a W 9 y Z W 4 s M T d 9 J n F 1 b 3 Q 7 L C Z x d W 9 0 O 1 N l Y 3 R p b 2 4 x L 0 t y a W 5 n Z G F n Z W 4 v Q X V 0 b 1 J l b W 9 2 Z W R D b 2 x 1 b W 5 z M S 5 7 U 2 h v d y B h c 3 B p c m F u d G V u L D E 4 f S Z x d W 9 0 O y w m c X V v d D t T Z W N 0 a W 9 u M S 9 L c m l u Z 2 R h Z 2 V u L 0 F 1 d G 9 S Z W 1 v d m V k Q 2 9 s d W 1 u c z E u e 1 N l b m l v c m V u I G l u Z G l 2 L i w x O X 0 m c X V v d D s s J n F 1 b 3 Q 7 U 2 V j d G l v b j E v S 3 J p b m d k Y W d l b i 9 B d X R v U m V t b 3 Z l Z E N v b H V t b n M x L n t K d W 5 p b 3 J l b i B p b m R p d i 4 s M j B 9 J n F 1 b 3 Q 7 L C Z x d W 9 0 O 1 N l Y 3 R p b 2 4 x L 0 t y a W 5 n Z G F n Z W 4 v Q X V 0 b 1 J l b W 9 2 Z W R D b 2 x 1 b W 5 z M S 5 7 Q X N w a X J h b n R l b i B p b m R p d i 4 s M j F 9 J n F 1 b 3 Q 7 L C Z x d W 9 0 O 1 N l Y 3 R p b 2 4 x L 0 t y a W 5 n Z G F n Z W 4 v Q X V 0 b 1 J l b W 9 2 Z W R D b 2 x 1 b W 5 z M S 5 7 U 2 V u L i B p b m Q g b 3 B n Z W d l d m V u I G 5 h b W V u L D I y f S Z x d W 9 0 O y w m c X V v d D t T Z W N 0 a W 9 u M S 9 L c m l u Z 2 R h Z 2 V u L 0 F 1 d G 9 S Z W 1 v d m V k Q 2 9 s d W 1 u c z E u e 0 p 1 b i 4 g a W 5 k I G 9 w Z 2 V n Z X Z l b i B u Y W 1 l b i w y M 3 0 m c X V v d D s s J n F 1 b 3 Q 7 U 2 V j d G l v b j E v S 3 J p b m d k Y W d l b i 9 B d X R v U m V t b 3 Z l Z E N v b H V t b n M x L n t B c 3 A u I G l u Z C B v c G d l Z 2 V 2 Z W 4 g b m F t Z W 4 s M j R 9 J n F 1 b 3 Q 7 L C Z x d W 9 0 O 1 N l Y 3 R p b 2 4 x L 0 t y a W 5 n Z G F n Z W 4 v Q X V 0 b 1 J l b W 9 2 Z W R D b 2 x 1 b W 5 z M S 5 7 S G 9 v Z m R r b 3 J w c y w y N X 0 m c X V v d D s s J n F 1 b 3 Q 7 U 2 V j d G l v b j E v S 3 J p b m d k Y W d l b i 9 B d X R v U m V t b 3 Z l Z E N v b H V t b n M x L n s y Z S B r b 3 J w c y w y N n 0 m c X V v d D s s J n F 1 b 3 Q 7 U 2 V j d G l v b j E v S 3 J p b m d k Y W d l b i 9 B d X R v U m V t b 3 Z l Z E N v b H V t b n M x L n t H c m 9 l c G V u L C B 0 Z W F t c y w g Z W 5 z Z W 1 i b G V z I G V u I G R 1 b 1 x 1 M D A y N 3 M s M j d 9 J n F 1 b 3 Q 7 L C Z x d W 9 0 O 1 N l Y 3 R p b 2 4 x L 0 t y a W 5 n Z G F n Z W 4 v Q X V 0 b 1 J l b W 9 2 Z W R D b 2 x 1 b W 5 z M S 5 7 U 2 V u a W 9 y Z W 4 s M j h 9 J n F 1 b 3 Q 7 L C Z x d W 9 0 O 1 N l Y 3 R p b 2 4 x L 0 t y a W 5 n Z G F n Z W 4 v Q X V 0 b 1 J l b W 9 2 Z W R D b 2 x 1 b W 5 z M S 5 7 S m 9 u Z y B 2 b 2 x 3 Y X N z Z W 5 l L D I 5 f S Z x d W 9 0 O y w m c X V v d D t T Z W N 0 a W 9 u M S 9 L c m l u Z 2 R h Z 2 V u L 0 F 1 d G 9 S Z W 1 v d m V k Q 2 9 s d W 1 u c z E u e 0 p 1 b m l v c m V u L D M w f S Z x d W 9 0 O y w m c X V v d D t T Z W N 0 a W 9 u M S 9 L c m l u Z 2 R h Z 2 V u L 0 F 1 d G 9 S Z W 1 v d m V k Q 2 9 s d W 1 u c z E u e 0 F z c G l y Y W 5 0 Z W 4 s M z F 9 J n F 1 b 3 Q 7 L C Z x d W 9 0 O 1 N l Y 3 R p b 2 4 x L 0 t y a W 5 n Z G F n Z W 4 v Q X V 0 b 1 J l b W 9 2 Z W R D b 2 x 1 b W 5 z M S 5 7 T 3 B n Z W d l d m V u I H N l b m l v c m V u L D M y f S Z x d W 9 0 O y w m c X V v d D t T Z W N 0 a W 9 u M S 9 L c m l u Z 2 R h Z 2 V u L 0 F 1 d G 9 S Z W 1 v d m V k Q 2 9 s d W 1 u c z E u e 0 9 w Z 2 V n Z X Z l b i B q b 2 5 n I H Z v b H d h c 3 N l b m U s M z N 9 J n F 1 b 3 Q 7 L C Z x d W 9 0 O 1 N l Y 3 R p b 2 4 x L 0 t y a W 5 n Z G F n Z W 4 v Q X V 0 b 1 J l b W 9 2 Z W R D b 2 x 1 b W 5 z M S 5 7 T 3 B n Z W d l d m V u I G p 1 b m l v c m V u L D M 0 f S Z x d W 9 0 O y w m c X V v d D t T Z W N 0 a W 9 u M S 9 L c m l u Z 2 R h Z 2 V u L 0 F 1 d G 9 S Z W 1 v d m V k Q 2 9 s d W 1 u c z E u e 0 9 w Z 2 V n Z X Z l b i B h c 3 B p c m F u d G V u L D M 1 f S Z x d W 9 0 O y w m c X V v d D t T Z W N 0 a W 9 u M S 9 L c m l u Z 2 R h Z 2 V u L 0 F 1 d G 9 S Z W 1 v d m V k Q 2 9 s d W 1 u c z E u e 0 1 h c m t l d G V u d H N 0 Z X J z L D M 2 f S Z x d W 9 0 O y w m c X V v d D t T Z W N 0 a W 9 u M S 9 L c m l u Z 2 R h Z 2 V u L 0 F 1 d G 9 S Z W 1 v d m V k Q 2 9 s d W 1 u c z E u e 0 x 1 Y 2 h 0 Z 2 V 3 Z W V y L D M 3 f S Z x d W 9 0 O y w m c X V v d D t T Z W N 0 a W 9 u M S 9 L c m l u Z 2 R h Z 2 V u L 0 F 1 d G 9 S Z W 1 v d m V k Q 2 9 s d W 1 u c z E u e 0 F h b n R h b C B s d W N o d G d l d 2 V l c n N j a H V 0 d G V y c y w z O H 0 m c X V v d D s s J n F 1 b 3 Q 7 U 2 V j d G l v b j E v S 3 J p b m d k Y W d l b i 9 B d X R v U m V t b 3 Z l Z E N v b H V t b n M x L n t M d W N o d H B p c 3 R v b 2 w s M z l 9 J n F 1 b 3 Q 7 L C Z x d W 9 0 O 1 N l Y 3 R p b 2 4 x L 0 t y a W 5 n Z G F n Z W 4 v Q X V 0 b 1 J l b W 9 2 Z W R D b 2 x 1 b W 5 z M S 5 7 Q W F u d G F s I G x 1 Y 2 h 0 c G l z d G 9 v b H N j a H V 0 d G V y c y w 0 M H 0 m c X V v d D s s J n F 1 b 3 Q 7 U 2 V j d G l v b j E v S 3 J p b m d k Y W d l b i 9 B d X R v U m V t b 3 Z l Z E N v b H V t b n M x L n t I Y W 5 k Y m 9 v Z y w 0 M X 0 m c X V v d D s s J n F 1 b 3 Q 7 U 2 V j d G l v b j E v S 3 J p b m d k Y W d l b i 9 B d X R v U m V t b 3 Z l Z E N v b H V t b n M x L n t B Y W 5 0 Y W w g a G F u Z G J v b 2 d z Y 2 h 1 d H R l c n M s N D J 9 J n F 1 b 3 Q 7 L C Z x d W 9 0 O 1 N l Y 3 R p b 2 4 x L 0 t y a W 5 n Z G F n Z W 4 v Q X V 0 b 1 J l b W 9 2 Z W R D b 2 x 1 b W 5 z M S 5 7 S 3 J 1 a X N i b 2 9 n L D Q z f S Z x d W 9 0 O y w m c X V v d D t T Z W N 0 a W 9 u M S 9 L c m l u Z 2 R h Z 2 V u L 0 F 1 d G 9 S Z W 1 v d m V k Q 2 9 s d W 1 u c z E u e 0 F h b n R h b C B r c n V p c 2 J v b 2 d z Y 2 h 1 d H R l c n M s N D R 9 J n F 1 b 3 Q 7 L C Z x d W 9 0 O 1 N l Y 3 R p b 2 4 x L 0 t y a W 5 n Z G F n Z W 4 v Q X V 0 b 1 J l b W 9 2 Z W R D b 2 x 1 b W 5 z M S 5 7 T H V j a H R n Z X d l Z X I g a m V 1 Z 2 Q g b m l l d C B v d W R l c i B k Y W 4 g M T c g a m F h c i 4 s N D V 9 J n F 1 b 3 Q 7 L C Z x d W 9 0 O 1 N l Y 3 R p b 2 4 x L 0 t y a W 5 n Z G F n Z W 4 v Q X V 0 b 1 J l b W 9 2 Z W R D b 2 x 1 b W 5 z M S 5 7 Q W F u d G F s I G t v c n B z Z W 4 s N D Z 9 J n F 1 b 3 Q 7 L C Z x d W 9 0 O 1 N l Y 3 R p b 2 4 x L 0 t y a W 5 n Z G F n Z W 4 v Q X V 0 b 1 J l b W 9 2 Z W R D b 2 x 1 b W 5 z M S 5 7 T 3 B n Z W d l d m V u I G p l d W d k a 2 9 y c H N l b i B M R y w 0 N 3 0 m c X V v d D s s J n F 1 b 3 Q 7 U 2 V j d G l v b j E v S 3 J p b m d k Y W d l b i 9 B d X R v U m V t b 3 Z l Z E N v b H V t b n M x L n t U b 3 R h Y W w g Y W F u d G F s I G R l Z W x u Z W 1 l c n M s N D h 9 J n F 1 b 3 Q 7 L C Z x d W 9 0 O 1 N l Y 3 R p b 2 4 x L 0 t y a W 5 n Z G F n Z W 4 v Q X V 0 b 1 J l b W 9 2 Z W R D b 2 x 1 b W 5 z M S 5 7 V 2 F h c n Z h b i B h Y W 5 0 Y W w g a m V 1 Z 2 Q g K H Q v b S A x N S B q Y W F y K S w 0 O X 0 m c X V v d D s s J n F 1 b 3 Q 7 U 2 V j d G l v b j E v S 3 J p b m d k Y W d l b i 9 B d X R v U m V t b 3 Z l Z E N v b H V t b n M x L n t L Y W 5 v b i B l d G M u L D U w f S Z x d W 9 0 O y w m c X V v d D t T Z W N 0 a W 9 u M S 9 L c m l u Z 2 R h Z 2 V u L 0 F 1 d G 9 S Z W 1 v d m V k Q 2 9 s d W 1 u c z E u e 1 B h Y X J k Z W 4 g Z W 4 v b 2 Y g a 2 9 l d H N l b i w 1 M X 0 m c X V v d D s s J n F 1 b 3 Q 7 U 2 V j d G l v b j E v S 3 J p b m d k Y W d l b i 9 B d X R v U m V t b 3 Z l Z E N v b H V t b n M x L n t U b 2 V s a W N o d G l u Z y 9 v c G 1 l c m t p b m d l b i w 1 M n 0 m c X V v d D s s J n F 1 b 3 Q 7 U 2 V j d G l v b j E v S 3 J p b m d k Y W d l b i 9 B d X R v U m V t b 3 Z l Z E N v b H V t b n M x L n t J b n p l b m R p b m c t S U Q s N T N 9 J n F 1 b 3 Q 7 L C Z x d W 9 0 O 1 N l Y 3 R p b 2 4 x L 0 t y a W 5 n Z G F n Z W 4 v Q X V 0 b 1 J l b W 9 2 Z W R D b 2 x 1 b W 5 z M S 5 7 S W 5 6 Z W 5 k Z G F 0 d W 0 s N T R 9 J n F 1 b 3 Q 7 L C Z x d W 9 0 O 1 N l Y 3 R p b 2 4 x L 0 t y a W 5 n Z G F n Z W 4 v Q X V 0 b 1 J l b W 9 2 Z W R D b 2 x 1 b W 5 z M S 5 7 R G F 0 Z S B V c G R h d G V k L D U 1 f S Z x d W 9 0 O y w m c X V v d D t T Z W N 0 a W 9 u M S 9 L c m l u Z 2 R h Z 2 V u L 0 F 1 d G 9 S Z W 1 v d m V k Q 2 9 s d W 1 u c z E u e 0 5 h Y W 0 g d m F u I G h l d C B o b 2 9 m Z G t v c n B z L D U 2 f S Z x d W 9 0 O y w m c X V v d D t T Z W N 0 a W 9 u M S 9 L c m l u Z 2 R h Z 2 V u L 0 F 1 d G 9 S Z W 1 v d m V k Q 2 9 s d W 1 u c z E u e 1 p h b C B v c C B 0 c m V k Z W 4 g Y W x z I C h o b 2 9 m Z G t v c n B z K S w 1 N 3 0 m c X V v d D s s J n F 1 b 3 Q 7 U 2 V j d G l v b j E v S 3 J p b m d k Y W d l b i 9 B d X R v U m V t b 3 Z l Z E N v b H V t b n M x L n t W b 3 J t I H Z h b i B 0 d 2 V l I G 1 1 e m l l a 3 d l c m t l b i A o a G 9 v Z m R r b 3 J w c y k s N T h 9 J n F 1 b 3 Q 7 L C Z x d W 9 0 O 1 N l Y 3 R p b 2 4 x L 0 t y a W 5 n Z G F n Z W 4 v Q X V 0 b 1 J l b W 9 2 Z W R D b 2 x 1 b W 5 z M S 5 7 W m F s I H V p d G t v b W V u I G l u I G R l O i A o a G 9 v Z m R r b 3 J w c y k s N T l 9 J n F 1 b 3 Q 7 L C Z x d W 9 0 O 1 N l Y 3 R p b 2 4 x L 0 t y a W 5 n Z G F n Z W 4 v Q X V 0 b 1 J l b W 9 2 Z W R D b 2 x 1 b W 5 z M S 5 7 T X V 6 a W V r d 2 V y a z E g K G h v b 2 Z k a 2 9 y c H M p L D Y w f S Z x d W 9 0 O y w m c X V v d D t T Z W N 0 a W 9 u M S 9 L c m l u Z 2 R h Z 2 V u L 0 F 1 d G 9 S Z W 1 v d m V k Q 2 9 s d W 1 u c z E u e 0 1 1 e m l l a 3 d l c m s y I C h o b 2 9 m Z G t v c n B z K S w 2 M X 0 m c X V v d D s s J n F 1 b 3 Q 7 U 2 V j d G l v b j E v S 3 J p b m d k Y W d l b i 9 B d X R v U m V t b 3 Z l Z E N v b H V t b n M x L n t L b 3 J w c y B i Z X N 0 Y W F 0 I H V p d C A u L i 4 g Z G V l b G 5 l b W V y c y A o a G 9 v Z m R r b 3 J w c y k s N j J 9 J n F 1 b 3 Q 7 L C Z x d W 9 0 O 1 N l Y 3 R p b 2 4 x L 0 t y a W 5 n Z G F n Z W 4 v Q X V 0 b 1 J l b W 9 2 Z W R D b 2 x 1 b W 5 z M S 5 7 T m F h b S B 2 Y W 4 g a G V 0 I D J l I G t v c n B z L D Y z f S Z x d W 9 0 O y w m c X V v d D t T Z W N 0 a W 9 u M S 9 L c m l u Z 2 R h Z 2 V u L 0 F 1 d G 9 S Z W 1 v d m V k Q 2 9 s d W 1 u c z E u e 1 p h b C B v c C B 0 c m V k Z W 4 g Y W x z I C g y Z S B r b 3 J w c y k s N j R 9 J n F 1 b 3 Q 7 L C Z x d W 9 0 O 1 N l Y 3 R p b 2 4 x L 0 t y a W 5 n Z G F n Z W 4 v Q X V 0 b 1 J l b W 9 2 Z W R D b 2 x 1 b W 5 z M S 5 7 V m 9 y b S B 2 Y W 4 g d H d l Z S B t d X p p Z W t 3 Z X J r Z W 4 g K D J l I G t v c n B z K S w 2 N X 0 m c X V v d D s s J n F 1 b 3 Q 7 U 2 V j d G l v b j E v S 3 J p b m d k Y W d l b i 9 B d X R v U m V t b 3 Z l Z E N v b H V t b n M x L n t a Y W w g d W l 0 a 2 9 t Z W 4 g a W 4 g Z G U 6 I C g y Z S B r b 3 J w c y k s N j Z 9 J n F 1 b 3 Q 7 L C Z x d W 9 0 O 1 N l Y 3 R p b 2 4 x L 0 t y a W 5 n Z G F n Z W 4 v Q X V 0 b 1 J l b W 9 2 Z W R D b 2 x 1 b W 5 z M S 5 7 T X V 6 a W V r d 2 V y a z E g K D J l I G t v c n B z K S w 2 N 3 0 m c X V v d D s s J n F 1 b 3 Q 7 U 2 V j d G l v b j E v S 3 J p b m d k Y W d l b i 9 B d X R v U m V t b 3 Z l Z E N v b H V t b n M x L n t N d X p p Z W t 3 Z X J r M i A o M m U g a 2 9 y c H M p L D Y 4 f S Z x d W 9 0 O y w m c X V v d D t T Z W N 0 a W 9 u M S 9 L c m l u Z 2 R h Z 2 V u L 0 F 1 d G 9 S Z W 1 v d m V k Q 2 9 s d W 1 u c z E u e 0 t v c n B z I G J l c 3 R h Y X Q g d W l 0 I C 4 u L i B k Z W V s b m V t Z X J z I C g y Z S B r b 3 J w c y k s N j l 9 J n F 1 b 3 Q 7 L C Z x d W 9 0 O 1 N l Y 3 R p b 2 4 x L 0 t y a W 5 n Z G F n Z W 4 v Q X V 0 b 1 J l b W 9 2 Z W R D b 2 x 1 b W 5 z M S 5 7 T W V j a G F u a X N j a G U g b X V 6 a W V r L D c w f S Z x d W 9 0 O y w m c X V v d D t T Z W N 0 a W 9 u M S 9 L c m l u Z 2 R h Z 2 V u L 0 F 1 d G 9 S Z W 1 v d m V k Q 2 9 s d W 1 u c z E u e 0 9 u Z G V y Z G V s Z W 4 s N z F 9 J n F 1 b 3 Q 7 L C Z x d W 9 0 O 1 N l Y 3 R p b 2 4 x L 0 t y a W 5 n Z G F n Z W 4 v Q X V 0 b 1 J l b W 9 2 Z W R D b 2 x 1 b W 5 z M S 5 7 U 2 V j d G l l c y w 3 M n 0 m c X V v d D s s J n F 1 b 3 Q 7 U 2 V j d G l v b j E v S 3 J p b m d k Y W d l b i 9 B d X R v U m V t b 3 Z l Z E N v b H V t b n M x L n t M Z W V m d G l q Z H N j Y X R l Z 2 9 y a W U s N z N 9 J n F 1 b 3 Q 7 L C Z x d W 9 0 O 1 N l Y 3 R p b 2 4 x L 0 t y a W 5 n Z G F n Z W 4 v Q X V 0 b 1 J l b W 9 2 Z W R D b 2 x 1 b W 5 z M S 5 7 Q W F u d G F s I G 9 w Z 2 V n Z X Z l b i B t Y W p v c m V 0 d G V z L D c 0 f S Z x d W 9 0 O 1 0 s J n F 1 b 3 Q 7 U m V s Y X R p b 2 5 z a G l w S W 5 m b y Z x d W 9 0 O z p b X X 0 i I C 8 + P C 9 T d G F i b G V F b n R y a W V z P j w v S X R l b T 4 8 S X R l b T 4 8 S X R l b U x v Y 2 F 0 a W 9 u P j x J d G V t V H l w Z T 5 G b 3 J t d W x h P C 9 J d G V t V H l w Z T 4 8 S X R l b V B h d G g + U 2 V j d G l v b j E v R 0 t W S T w v S X R l b V B h d G g + P C 9 J d G V t T G 9 j Y X R p b 2 4 + P F N 0 Y W J s Z U V u d H J p Z X M + P E V u d H J 5 I F R 5 c G U 9 I k J 1 Z m Z l c k 5 l e H R S Z W Z y Z X N o I i B W Y W x 1 Z T 0 i b D E i I C 8 + P E V u d H J 5 I F R 5 c G U 9 I k Z p b G x F b m F i b G V k I i B W Y W x 1 Z T 0 i b D E i I C 8 + P E V u d H J 5 I F R 5 c G U 9 I k Z p b G x l Z E N v b X B s Z X R l U m V z d W x 0 V G 9 X b 3 J r c 2 h l Z X Q i I F Z h b H V l P S J s M S I g L z 4 8 R W 5 0 c n k g V H l w Z T 0 i R m l s b F R v R G F 0 Y U 1 v Z G V s R W 5 h Y m x l Z C I g V m F s d W U 9 I m w w I i A v P j x F b n R y e S B U e X B l P S J J c 1 B y a X Z h d G U i I F Z h b H V l P S J s M C I g L z 4 8 R W 5 0 c n k g V H l w Z T 0 i U X V l c n l J R C I g V m F s d W U 9 I n M x N D R h Z m U 3 Y S 1 i N m U 3 L T Q x M z I t O W Z i O C 0 x N D l m N D J h N G M y Y j I i I C 8 + P E V u d H J 5 I F R 5 c G U 9 I l J l c 3 V s d F R 5 c G U i I F Z h b H V l P S J z V G F i b G U i I C 8 + P E V u d H J 5 I F R 5 c G U 9 I k 5 h d m l n Y X R p b 2 5 T d G V w T m F t Z S I g V m F s d W U 9 I n N O Y X Z p Z 2 F 0 a W U i I C 8 + P E V u d H J 5 I F R 5 c G U 9 I k Z p b G x P Y m p l Y 3 R U e X B l I i B W Y W x 1 Z T 0 i c 1 R h Y m x l I i A v P j x F b n R y e S B U e X B l P S J O Y W 1 l V X B k Y X R l Z E F m d G V y R m l s b C I g V m F s d W U 9 I m w w I i A v P j x F b n R y e S B U e X B l P S J G a W x s V G F y Z 2 V 0 I i B W Y W x 1 Z T 0 i c 0 d L V k k i I C 8 + P E V u d H J 5 I F R 5 c G U 9 I k x v Y W R U b 1 J l c G 9 y d E R p c 2 F i b G V k I i B W Y W x 1 Z T 0 i b D A i I C 8 + P E V u d H J 5 I F R 5 c G U 9 I k Z p b G x M Y X N 0 V X B k Y X R l Z C I g V m F s d W U 9 I m Q y M D I 0 L T E y L T I x V D E y O j Q y O j U w L j U z O D Y z O T B a I i A v P j x F b n R y e S B U e X B l P S J G a W x s R X J y b 3 J D b 3 V u d C I g V m F s d W U 9 I m w w I i A v P j x F b n R y e S B U e X B l P S J G a W x s Q 2 9 s d W 1 u V H l w Z X M i I F Z h b H V l P S J z Q X d j R 0 J n W U R B d 0 1 E Q X d N R E F 3 T U R B d 0 1 E Q X d N R E J n Y z 0 i I C 8 + P E V u d H J 5 I F R 5 c G U 9 I k Z p b G x F c n J v c k N v Z G U i I F Z h b H V l P S J z V W 5 r b m 9 3 b i I g L z 4 8 R W 5 0 c n k g V H l w Z T 0 i R m l s b E N v b H V t b k 5 h b W V z I i B W Y W x 1 Z T 0 i c 1 s m c X V v d D t J b n p l b m R p b m c t S U Q m c X V v d D s s J n F 1 b 3 Q 7 S W 5 6 Z W 5 k Z G F 0 d W 0 m c X V v d D s s J n F 1 b 3 Q 7 R 0 t W S S Z x d W 9 0 O y w m c X V v d D t W Z X I u b n I u J n F 1 b 3 Q 7 L C Z x d W 9 0 O 0 5 h Y W 0 g d m V y Z W 5 p Z 2 l u Z y Z x d W 9 0 O y w m c X V v d D t L b 3 J w c y B r b G F z c 2 l l a y B z Z W 5 p b 3 J l b i Z x d W 9 0 O y w m c X V v d D t L b 3 J w c y A x I G t s Y X N z a W V r I G p 1 b m l v c m V u J n F 1 b 3 Q 7 L C Z x d W 9 0 O 0 t v c n B z I D I g a 2 x h c 3 N p Z W s g a n V u a W 9 y Z W 4 m c X V v d D s s J n F 1 b 3 Q 7 S 2 9 y c H M g M S B r b G F z c 2 l l a y B h c 3 B p c m F u d G V u J n F 1 b 3 Q 7 L C Z x d W 9 0 O 0 t v c n B z I D I g a 2 x h c 3 N p Z W s g Y X N w a X J h b n R l b i Z x d W 9 0 O y w m c X V v d D t L b 3 J w c y B h Y 3 J v Y i 4 g c 2 V u a W 9 y Z W 4 m c X V v d D s s J n F 1 b 3 Q 7 S 2 9 y c H M g Y W N y b 2 I u I G p 1 b m l v c m V u J n F 1 b 3 Q 7 L C Z x d W 9 0 O 0 t v c n B z I G F j c m 9 i L i B h c 3 B p c m F u d G V u J n F 1 b 3 Q 7 L C Z x d W 9 0 O 0 t v c n B z I H N o b 3 c g c 2 V u a W 9 y Z W 4 m c X V v d D s s J n F 1 b 3 Q 7 S 2 9 y c H M g c 2 h v d y B q d W 5 p b 3 J l b i Z x d W 9 0 O y w m c X V v d D t L b 3 J w c y B z a G 9 3 I G F z c G l y Y W 5 0 Z W 4 m c X V v d D s s J n F 1 b 3 Q 7 U 2 V u a W 9 y Z W 4 m c X V v d D s s J n F 1 b 3 Q 7 S n V u a W 9 y Z W 4 m c X V v d D s s J n F 1 b 3 Q 7 Q X N w a X J h b n R l b i Z x d W 9 0 O y w m c X V v d D t B Y W 5 0 Y W w g Z G V l b G 5 l b W V y c y Z x d W 9 0 O y w m c X V v d D t I a W V y d m F u I G l z I G F z c G l y Y W 5 0 J n F 1 b 3 Q 7 L C Z x d W 9 0 O 0 9 w b W V y a 2 l u Z 2 V u J n F 1 b 3 Q 7 L C Z x d W 9 0 O 0 R h d G U g V X B k Y X R l Z C Z x d W 9 0 O 1 0 i I C 8 + P E V u d H J 5 I F R 5 c G U 9 I k Z p b G x D b 3 V u d C I g V m F s d W U 9 I m w x O S I g L z 4 8 R W 5 0 c n k g V H l w Z T 0 i R m l s b F N 0 Y X R 1 c y I g V m F s d W U 9 I n N D b 2 1 w b G V 0 Z S I g L z 4 8 R W 5 0 c n k g V H l w Z T 0 i Q W R k Z W R U b 0 R h d G F N b 2 R l b C I g V m F s d W U 9 I m w w I i A v P j x F b n R y e S B U e X B l P S J S Z W x h d G l v b n N o a X B J b m Z v Q 2 9 u d G F p b m V y I i B W Y W x 1 Z T 0 i c 3 s m c X V v d D t j b 2 x 1 b W 5 D b 3 V u d C Z x d W 9 0 O z o y M y w m c X V v d D t r Z X l D b 2 x 1 b W 5 O Y W 1 l c y Z x d W 9 0 O z p b X S w m c X V v d D t x d W V y e V J l b G F 0 a W 9 u c 2 h p c H M m c X V v d D s 6 W 1 0 s J n F 1 b 3 Q 7 Y 2 9 s d W 1 u S W R l b n R p d G l l c y Z x d W 9 0 O z p b J n F 1 b 3 Q 7 U 2 V j d G l v b j E v R 0 t W S S 9 B d X R v U m V t b 3 Z l Z E N v b H V t b n M x L n t J b n p l b m R p b m c t S U Q s M H 0 m c X V v d D s s J n F 1 b 3 Q 7 U 2 V j d G l v b j E v R 0 t W S S 9 B d X R v U m V t b 3 Z l Z E N v b H V t b n M x L n t J b n p l b m R k Y X R 1 b S w x f S Z x d W 9 0 O y w m c X V v d D t T Z W N 0 a W 9 u M S 9 H S 1 Z J L 0 F 1 d G 9 S Z W 1 v d m V k Q 2 9 s d W 1 u c z E u e 0 d L V k k s M n 0 m c X V v d D s s J n F 1 b 3 Q 7 U 2 V j d G l v b j E v R 0 t W S S 9 B d X R v U m V t b 3 Z l Z E N v b H V t b n M x L n t W Z X I u b n I u L D N 9 J n F 1 b 3 Q 7 L C Z x d W 9 0 O 1 N l Y 3 R p b 2 4 x L 0 d L V k k v Q X V 0 b 1 J l b W 9 2 Z W R D b 2 x 1 b W 5 z M S 5 7 T m F h b S B 2 Z X J l b m l n a W 5 n L D R 9 J n F 1 b 3 Q 7 L C Z x d W 9 0 O 1 N l Y 3 R p b 2 4 x L 0 d L V k k v Q X V 0 b 1 J l b W 9 2 Z W R D b 2 x 1 b W 5 z M S 5 7 S 2 9 y c H M g a 2 x h c 3 N p Z W s g c 2 V u a W 9 y Z W 4 s N X 0 m c X V v d D s s J n F 1 b 3 Q 7 U 2 V j d G l v b j E v R 0 t W S S 9 B d X R v U m V t b 3 Z l Z E N v b H V t b n M x L n t L b 3 J w c y A x I G t s Y X N z a W V r I G p 1 b m l v c m V u L D Z 9 J n F 1 b 3 Q 7 L C Z x d W 9 0 O 1 N l Y 3 R p b 2 4 x L 0 d L V k k v Q X V 0 b 1 J l b W 9 2 Z W R D b 2 x 1 b W 5 z M S 5 7 S 2 9 y c H M g M i B r b G F z c 2 l l a y B q d W 5 p b 3 J l b i w 3 f S Z x d W 9 0 O y w m c X V v d D t T Z W N 0 a W 9 u M S 9 H S 1 Z J L 0 F 1 d G 9 S Z W 1 v d m V k Q 2 9 s d W 1 u c z E u e 0 t v c n B z I D E g a 2 x h c 3 N p Z W s g Y X N w a X J h b n R l b i w 4 f S Z x d W 9 0 O y w m c X V v d D t T Z W N 0 a W 9 u M S 9 H S 1 Z J L 0 F 1 d G 9 S Z W 1 v d m V k Q 2 9 s d W 1 u c z E u e 0 t v c n B z I D I g a 2 x h c 3 N p Z W s g Y X N w a X J h b n R l b i w 5 f S Z x d W 9 0 O y w m c X V v d D t T Z W N 0 a W 9 u M S 9 H S 1 Z J L 0 F 1 d G 9 S Z W 1 v d m V k Q 2 9 s d W 1 u c z E u e 0 t v c n B z I G F j c m 9 i L i B z Z W 5 p b 3 J l b i w x M H 0 m c X V v d D s s J n F 1 b 3 Q 7 U 2 V j d G l v b j E v R 0 t W S S 9 B d X R v U m V t b 3 Z l Z E N v b H V t b n M x L n t L b 3 J w c y B h Y 3 J v Y i 4 g a n V u a W 9 y Z W 4 s M T F 9 J n F 1 b 3 Q 7 L C Z x d W 9 0 O 1 N l Y 3 R p b 2 4 x L 0 d L V k k v Q X V 0 b 1 J l b W 9 2 Z W R D b 2 x 1 b W 5 z M S 5 7 S 2 9 y c H M g Y W N y b 2 I u I G F z c G l y Y W 5 0 Z W 4 s M T J 9 J n F 1 b 3 Q 7 L C Z x d W 9 0 O 1 N l Y 3 R p b 2 4 x L 0 d L V k k v Q X V 0 b 1 J l b W 9 2 Z W R D b 2 x 1 b W 5 z M S 5 7 S 2 9 y c H M g c 2 h v d y B z Z W 5 p b 3 J l b i w x M 3 0 m c X V v d D s s J n F 1 b 3 Q 7 U 2 V j d G l v b j E v R 0 t W S S 9 B d X R v U m V t b 3 Z l Z E N v b H V t b n M x L n t L b 3 J w c y B z a G 9 3 I G p 1 b m l v c m V u L D E 0 f S Z x d W 9 0 O y w m c X V v d D t T Z W N 0 a W 9 u M S 9 H S 1 Z J L 0 F 1 d G 9 S Z W 1 v d m V k Q 2 9 s d W 1 u c z E u e 0 t v c n B z I H N o b 3 c g Y X N w a X J h b n R l b i w x N X 0 m c X V v d D s s J n F 1 b 3 Q 7 U 2 V j d G l v b j E v R 0 t W S S 9 B d X R v U m V t b 3 Z l Z E N v b H V t b n M x L n t T Z W 5 p b 3 J l b i w x N n 0 m c X V v d D s s J n F 1 b 3 Q 7 U 2 V j d G l v b j E v R 0 t W S S 9 B d X R v U m V t b 3 Z l Z E N v b H V t b n M x L n t K d W 5 p b 3 J l b i w x N 3 0 m c X V v d D s s J n F 1 b 3 Q 7 U 2 V j d G l v b j E v R 0 t W S S 9 B d X R v U m V t b 3 Z l Z E N v b H V t b n M x L n t B c 3 B p c m F u d G V u L D E 4 f S Z x d W 9 0 O y w m c X V v d D t T Z W N 0 a W 9 u M S 9 H S 1 Z J L 0 F 1 d G 9 S Z W 1 v d m V k Q 2 9 s d W 1 u c z E u e 0 F h b n R h b C B k Z W V s b m V t Z X J z L D E 5 f S Z x d W 9 0 O y w m c X V v d D t T Z W N 0 a W 9 u M S 9 H S 1 Z J L 0 F 1 d G 9 S Z W 1 v d m V k Q 2 9 s d W 1 u c z E u e 0 h p Z X J 2 Y W 4 g a X M g Y X N w a X J h b n Q s M j B 9 J n F 1 b 3 Q 7 L C Z x d W 9 0 O 1 N l Y 3 R p b 2 4 x L 0 d L V k k v Q X V 0 b 1 J l b W 9 2 Z W R D b 2 x 1 b W 5 z M S 5 7 T 3 B t Z X J r a W 5 n Z W 4 s M j F 9 J n F 1 b 3 Q 7 L C Z x d W 9 0 O 1 N l Y 3 R p b 2 4 x L 0 d L V k k v Q X V 0 b 1 J l b W 9 2 Z W R D b 2 x 1 b W 5 z M S 5 7 R G F 0 Z S B V c G R h d G V k L D I y f S Z x d W 9 0 O 1 0 s J n F 1 b 3 Q 7 Q 2 9 s d W 1 u Q 2 9 1 b n Q m c X V v d D s 6 M j M s J n F 1 b 3 Q 7 S 2 V 5 Q 2 9 s d W 1 u T m F t Z X M m c X V v d D s 6 W 1 0 s J n F 1 b 3 Q 7 Q 2 9 s d W 1 u S W R l b n R p d G l l c y Z x d W 9 0 O z p b J n F 1 b 3 Q 7 U 2 V j d G l v b j E v R 0 t W S S 9 B d X R v U m V t b 3 Z l Z E N v b H V t b n M x L n t J b n p l b m R p b m c t S U Q s M H 0 m c X V v d D s s J n F 1 b 3 Q 7 U 2 V j d G l v b j E v R 0 t W S S 9 B d X R v U m V t b 3 Z l Z E N v b H V t b n M x L n t J b n p l b m R k Y X R 1 b S w x f S Z x d W 9 0 O y w m c X V v d D t T Z W N 0 a W 9 u M S 9 H S 1 Z J L 0 F 1 d G 9 S Z W 1 v d m V k Q 2 9 s d W 1 u c z E u e 0 d L V k k s M n 0 m c X V v d D s s J n F 1 b 3 Q 7 U 2 V j d G l v b j E v R 0 t W S S 9 B d X R v U m V t b 3 Z l Z E N v b H V t b n M x L n t W Z X I u b n I u L D N 9 J n F 1 b 3 Q 7 L C Z x d W 9 0 O 1 N l Y 3 R p b 2 4 x L 0 d L V k k v Q X V 0 b 1 J l b W 9 2 Z W R D b 2 x 1 b W 5 z M S 5 7 T m F h b S B 2 Z X J l b m l n a W 5 n L D R 9 J n F 1 b 3 Q 7 L C Z x d W 9 0 O 1 N l Y 3 R p b 2 4 x L 0 d L V k k v Q X V 0 b 1 J l b W 9 2 Z W R D b 2 x 1 b W 5 z M S 5 7 S 2 9 y c H M g a 2 x h c 3 N p Z W s g c 2 V u a W 9 y Z W 4 s N X 0 m c X V v d D s s J n F 1 b 3 Q 7 U 2 V j d G l v b j E v R 0 t W S S 9 B d X R v U m V t b 3 Z l Z E N v b H V t b n M x L n t L b 3 J w c y A x I G t s Y X N z a W V r I G p 1 b m l v c m V u L D Z 9 J n F 1 b 3 Q 7 L C Z x d W 9 0 O 1 N l Y 3 R p b 2 4 x L 0 d L V k k v Q X V 0 b 1 J l b W 9 2 Z W R D b 2 x 1 b W 5 z M S 5 7 S 2 9 y c H M g M i B r b G F z c 2 l l a y B q d W 5 p b 3 J l b i w 3 f S Z x d W 9 0 O y w m c X V v d D t T Z W N 0 a W 9 u M S 9 H S 1 Z J L 0 F 1 d G 9 S Z W 1 v d m V k Q 2 9 s d W 1 u c z E u e 0 t v c n B z I D E g a 2 x h c 3 N p Z W s g Y X N w a X J h b n R l b i w 4 f S Z x d W 9 0 O y w m c X V v d D t T Z W N 0 a W 9 u M S 9 H S 1 Z J L 0 F 1 d G 9 S Z W 1 v d m V k Q 2 9 s d W 1 u c z E u e 0 t v c n B z I D I g a 2 x h c 3 N p Z W s g Y X N w a X J h b n R l b i w 5 f S Z x d W 9 0 O y w m c X V v d D t T Z W N 0 a W 9 u M S 9 H S 1 Z J L 0 F 1 d G 9 S Z W 1 v d m V k Q 2 9 s d W 1 u c z E u e 0 t v c n B z I G F j c m 9 i L i B z Z W 5 p b 3 J l b i w x M H 0 m c X V v d D s s J n F 1 b 3 Q 7 U 2 V j d G l v b j E v R 0 t W S S 9 B d X R v U m V t b 3 Z l Z E N v b H V t b n M x L n t L b 3 J w c y B h Y 3 J v Y i 4 g a n V u a W 9 y Z W 4 s M T F 9 J n F 1 b 3 Q 7 L C Z x d W 9 0 O 1 N l Y 3 R p b 2 4 x L 0 d L V k k v Q X V 0 b 1 J l b W 9 2 Z W R D b 2 x 1 b W 5 z M S 5 7 S 2 9 y c H M g Y W N y b 2 I u I G F z c G l y Y W 5 0 Z W 4 s M T J 9 J n F 1 b 3 Q 7 L C Z x d W 9 0 O 1 N l Y 3 R p b 2 4 x L 0 d L V k k v Q X V 0 b 1 J l b W 9 2 Z W R D b 2 x 1 b W 5 z M S 5 7 S 2 9 y c H M g c 2 h v d y B z Z W 5 p b 3 J l b i w x M 3 0 m c X V v d D s s J n F 1 b 3 Q 7 U 2 V j d G l v b j E v R 0 t W S S 9 B d X R v U m V t b 3 Z l Z E N v b H V t b n M x L n t L b 3 J w c y B z a G 9 3 I G p 1 b m l v c m V u L D E 0 f S Z x d W 9 0 O y w m c X V v d D t T Z W N 0 a W 9 u M S 9 H S 1 Z J L 0 F 1 d G 9 S Z W 1 v d m V k Q 2 9 s d W 1 u c z E u e 0 t v c n B z I H N o b 3 c g Y X N w a X J h b n R l b i w x N X 0 m c X V v d D s s J n F 1 b 3 Q 7 U 2 V j d G l v b j E v R 0 t W S S 9 B d X R v U m V t b 3 Z l Z E N v b H V t b n M x L n t T Z W 5 p b 3 J l b i w x N n 0 m c X V v d D s s J n F 1 b 3 Q 7 U 2 V j d G l v b j E v R 0 t W S S 9 B d X R v U m V t b 3 Z l Z E N v b H V t b n M x L n t K d W 5 p b 3 J l b i w x N 3 0 m c X V v d D s s J n F 1 b 3 Q 7 U 2 V j d G l v b j E v R 0 t W S S 9 B d X R v U m V t b 3 Z l Z E N v b H V t b n M x L n t B c 3 B p c m F u d G V u L D E 4 f S Z x d W 9 0 O y w m c X V v d D t T Z W N 0 a W 9 u M S 9 H S 1 Z J L 0 F 1 d G 9 S Z W 1 v d m V k Q 2 9 s d W 1 u c z E u e 0 F h b n R h b C B k Z W V s b m V t Z X J z L D E 5 f S Z x d W 9 0 O y w m c X V v d D t T Z W N 0 a W 9 u M S 9 H S 1 Z J L 0 F 1 d G 9 S Z W 1 v d m V k Q 2 9 s d W 1 u c z E u e 0 h p Z X J 2 Y W 4 g a X M g Y X N w a X J h b n Q s M j B 9 J n F 1 b 3 Q 7 L C Z x d W 9 0 O 1 N l Y 3 R p b 2 4 x L 0 d L V k k v Q X V 0 b 1 J l b W 9 2 Z W R D b 2 x 1 b W 5 z M S 5 7 T 3 B t Z X J r a W 5 n Z W 4 s M j F 9 J n F 1 b 3 Q 7 L C Z x d W 9 0 O 1 N l Y 3 R p b 2 4 x L 0 d L V k k v Q X V 0 b 1 J l b W 9 2 Z W R D b 2 x 1 b W 5 z M S 5 7 R G F 0 Z S B V c G R h d G V k L D I y f S Z x d W 9 0 O 1 0 s J n F 1 b 3 Q 7 U m V s Y X R p b 2 5 z a G l w S W 5 m b y Z x d W 9 0 O z p b X X 0 i I C 8 + P C 9 T d G F i b G V F b n R y a W V z P j w v S X R l b T 4 8 S X R l b T 4 8 S X R l b U x v Y 2 F 0 a W 9 u P j x J d G V t V H l w Z T 5 G b 3 J t d W x h P C 9 J d G V t V H l w Z T 4 8 S X R l b V B h d G g + U 2 V j d G l v b j E v V m 9 v c m J l Z W x k Y m V z d G F u Z D w v S X R l b V B h d G g + P C 9 J d G V t T G 9 j Y X R p b 2 4 + P F N 0 Y W J s Z U V u d H J p Z X M + P E V u d H J 5 I F R 5 c G U 9 I k 5 h b W V V c G R h d G V k Q W Z 0 Z X J G a W x s I i B W Y W x 1 Z T 0 i b D E i I C 8 + 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2 M 2 O D Q w Y j h i L T V m Z T Y t N G E z M C 0 4 M W F i L W M 1 O D d l Y j g y N D d h O S I g L z 4 8 R W 5 0 c n k g V H l w Z T 0 i U m V z d W x 0 V H l w Z S I g V m F s d W U 9 I n N F e G N l c H R p b 2 4 i I C 8 + P E V u d H J 5 I F R 5 c G U 9 I k Z p b G x P Y m p l Y 3 R U e X B l I i B W Y W x 1 Z T 0 i c 0 N v b m 5 l Y 3 R p b 2 5 P b m x 5 I i A v P j x F b n R y e S B U e X B l P S J C d W Z m Z X J O Z X h 0 U m V m c m V z a C I g V m F s d W U 9 I m w x I i A v P j x F b n R y e S B U e X B l P S J M b 2 F k Z W R U b 0 F u Y W x 5 c 2 l z U 2 V y d m l j Z X M i I F Z h b H V l P S J s M C I g L z 4 8 R W 5 0 c n k g V H l w Z T 0 i T G 9 h Z F R v U m V w b 3 J 0 R G l z Y W J s Z W Q i I F Z h b H V l P S J s M S I g L z 4 8 R W 5 0 c n k g V H l w Z T 0 i U X V l c n l J R C I g V m F s d W U 9 I n M x O D Q w Y z J i M i 1 h Y T R j L T Q 1 M G Y t Y m E 2 M y 0 0 O D A w N W N i M D g 4 Z j M i I C 8 + P E V u d H J 5 I F R 5 c G U 9 I k Z p b G x F c n J v c k N v Z G U i I F Z h b H V l P S J z V W 5 r b m 9 3 b i I g L z 4 8 R W 5 0 c n k g V H l w Z T 0 i Q W R k Z W R U b 0 R h d G F N b 2 R l b C I g V m F s d W U 9 I m w w I i A v P j x F b n R y e S B U e X B l P S J G a W x s T G F z d F V w Z G F 0 Z W Q i I F Z h b H V l P S J k M j A y N C 0 x M i 0 y M V Q x M j o 0 M j o z O C 4 z N z Q 3 N j Q w W i I g L z 4 8 R W 5 0 c n k g V H l w Z T 0 i R m l s b F N 0 Y X R 1 c y I g V m F s d W U 9 I n N D b 2 1 w b G V 0 Z S I g L z 4 8 L 1 N 0 Y W J s Z U V u d H J p Z X M + P C 9 J d G V t P j x J d G V t P j x J d G V t T G 9 j Y X R p b 2 4 + P E l 0 Z W 1 U e X B l P k Z v c m 1 1 b G E 8 L 0 l 0 Z W 1 U e X B l P j x J d G V t U G F 0 a D 5 T Z W N 0 a W 9 u M S 9 Q Y X J h b W V 0 Z X I x P C 9 J d G V t U G F 0 a D 4 8 L 0 l 0 Z W 1 M b 2 N h d G l v b j 4 8 U 3 R h Y m x l R W 5 0 c m l l c z 4 8 R W 5 0 c n k g V H l w Z T 0 i Q W R k Z W R U b 0 R h d G F N b 2 R l b C I g V m F s d W U 9 I m w w I i A v P j x F b n R y e S B U e X B l P S J S Z X N 1 b H R U e X B l I i B W Y W x 1 Z T 0 i c 0 V 4 Y 2 V w d G l v b i I g L z 4 8 R W 5 0 c n k g V H l w Z T 0 i R m l s b E V u Y W J s Z W Q i I F Z h b H V l P S J s M C I g L z 4 8 R W 5 0 c n k g V H l w Z T 0 i R m l s b E V y c m 9 y Q 2 9 k Z S I g V m F s d W U 9 I n N V b m t u b 3 d u I i A v P j x F b n R y e S B U e X B l P S J G a W x s T G F z d F V w Z G F 0 Z W Q i I F Z h b H V l P S J k M j A y M S 0 w O C 0 x N F Q x M z o z M z o x M S 4 3 M z c w M D k x W i I g L z 4 8 R W 5 0 c n k g V H l w Z T 0 i R m l s b G V k Q 2 9 t c G x l d G V S Z X N 1 b H R U b 1 d v c m t z a G V l d C I g V m F s d W U 9 I m w w I i A v P j x F b n R y e S B U e X B l P S J G a W x s U 3 R h d H V z I i B W Y W x 1 Z T 0 i c 0 N v b X B s Z X R l I i A v P j x F b n R y e S B U e X B l P S J G a W x s V G 9 E Y X R h T W 9 k Z W x F b m F i b G V k I i B W Y W x 1 Z T 0 i b D A i I C 8 + P E V u d H J 5 I F R 5 c G U 9 I k l z U H J p d m F 0 Z S I g V m F s d W U 9 I m w w I i A v P j x F b n R y e S B U e X B l P S J R d W V y e U d y b 3 V w S U Q i I F Z h b H V l P S J z Y z Y 4 N D B i O G I t N W Z l N i 0 0 Y T M w L T g x Y W I t Y z U 4 N 2 V i O D I 0 N 2 E 5 I i A v P j x F b n R y e S B U e X B l P S J C d W Z m Z X J O Z X h 0 U m V m c m V z a C I g V m F s d W U 9 I m w x I i A v P j x F b n R y e S B U e X B l P S J G a W x s T 2 J q Z W N 0 V H l w Z S I g V m F s d W U 9 I n N D b 2 5 u Z W N 0 a W 9 u T 2 5 s e S I g L z 4 8 R W 5 0 c n k g V H l w Z T 0 i T G 9 h Z F R v U m V w b 3 J 0 R G l z Y W J s Z W Q i I F Z h b H V l P S J s M S I g L z 4 8 R W 5 0 c n k g V H l w Z T 0 i U X V l c n l J R C I g V m F s d W U 9 I n M z M 2 I 1 M G Y w Z S 0 1 M z E 2 L T Q y Z j k t O T J m Z S 1 k N z d k M T d j M z R j N W I i I C 8 + P C 9 T d G F i b G V F b n R y a W V z P j w v S X R l b T 4 8 S X R l b T 4 8 S X R l b U x v Y 2 F 0 a W 9 u P j x J d G V t V H l w Z T 5 G b 3 J t d W x h P C 9 J d G V t V H l w Z T 4 8 S X R l b V B h d G g + U 2 V j d G l v b j E v V m 9 v c m J l Z W x k Y m V z d G F u Z C U y M H R y Y W 5 z Z m 9 y b W V y Z W 4 8 L 0 l 0 Z W 1 Q Y X R o P j w v S X R l b U x v Y 2 F 0 a W 9 u P j x T d G F i b G V F b n R y a W V z P j x F b n R y e S B U e X B l P S J C d W Z m Z X J O Z X h 0 U m V m c m V z a C I g V m F s d W U 9 I m w x I i A v P j x F b n R y e S B U e X B l P S J G a W x s R W 5 h Y m x l Z C I g V m F s d W U 9 I m w w I i A v P j x F b n R y e S B U e X B l P S J G a W x s Z W R D b 2 1 w b G V 0 Z V J l c 3 V s d F R v V 2 9 y a 3 N o Z W V 0 I i B W Y W x 1 Z T 0 i b D A i I C 8 + P E V u d H J 5 I F R 5 c G U 9 I k Z p b G x U b 0 R h d G F N b 2 R l b E V u Y W J s Z W Q i I F Z h b H V l P S J s M C I g L z 4 8 R W 5 0 c n k g V H l w Z T 0 i S X N Q c m l 2 Y X R l I i B W Y W x 1 Z T 0 i b D A i I C 8 + P E V u d H J 5 I F R 5 c G U 9 I l F 1 Z X J 5 R 3 J v d X B J R C I g V m F s d W U 9 I n M 1 M D N k Z T Q 4 Z S 0 4 Z D I z L T Q 2 Z T c t Y W M 3 O S 0 1 M j Z k M j E 2 Z W N k N j U i I C 8 + P E V u d H J 5 I F R 5 c G U 9 I l J l c 3 V s d F R 5 c G U i I F Z h b H V l P S J z R X h j Z X B 0 a W 9 u I i A v P j x F b n R y e S B U e X B l P S J G a W x s T 2 J q Z W N 0 V H l w Z S I g V m F s d W U 9 I n N D b 2 5 u Z W N 0 a W 9 u T 2 5 s e S I g L z 4 8 R W 5 0 c n k g V H l w Z T 0 i T m F t Z V V w Z G F 0 Z W R B Z n R l c k Z p b G w i I F Z h b H V l P S J s M S I g L z 4 8 R W 5 0 c n k g V H l w Z T 0 i T G 9 h Z F R v U m V w b 3 J 0 R G l z Y W J s Z W Q i I F Z h b H V l P S J s M S I g L z 4 8 R W 5 0 c n k g V H l w Z T 0 i U X V l c n l J R C I g V m F s d W U 9 I n M w M T I 5 Z j N h Y S 1 j N z d m L T Q 2 Z m Y t Y W U w M C 0 z Y T I 0 O W Y 3 Z m U 1 N m I i I C 8 + P E V u d H J 5 I F R 5 c G U 9 I k Z p b G x F c n J v c k N v Z G U i I F Z h b H V l P S J z V W 5 r b m 9 3 b i I g L z 4 8 R W 5 0 c n k g V H l w Z T 0 i Q W R k Z W R U b 0 R h d G F N b 2 R l b C I g V m F s d W U 9 I m w w I i A v P j x F b n R y e S B U e X B l P S J G a W x s T G F z d F V w Z G F 0 Z W Q i I F Z h b H V l P S J k M j A y N C 0 x M i 0 y M V Q x M j o 0 M j o z O C 4 z O T I w N j E w W i I g L z 4 8 R W 5 0 c n k g V H l w Z T 0 i R m l s b F N 0 Y X R 1 c y I g V m F s d W U 9 I n N D b 2 1 w b G V 0 Z S I g L z 4 8 L 1 N 0 Y W J s Z U V u d H J p Z X M + P C 9 J d G V t P j x J d G V t P j x J d G V t T G 9 j Y X R p b 2 4 + P E l 0 Z W 1 U e X B l P k Z v c m 1 1 b G E 8 L 0 l 0 Z W 1 U e X B l P j x J d G V t U G F 0 a D 5 T Z W N 0 a W 9 u M S 9 C Z X N 0 Y W 5 k J T I w d H J h b n N m b 3 J t Z X J l b j w v S X R l b V B h d G g + P C 9 J d G V t T G 9 j Y X R p b 2 4 + P F N 0 Y W J s Z U V u d H J p Z X M + P E V u d H J 5 I F R 5 c G U 9 I k J 1 Z m Z l c k 5 l e H R S Z W Z y Z X N o I i B W Y W x 1 Z T 0 i b D E i I C 8 + P E V u d H J 5 I F R 5 c G U 9 I k Z p b G x F b m F i b G V k I i B W Y W x 1 Z T 0 i b D A i I C 8 + P E V u d H J 5 I F R 5 c G U 9 I k Z p b G x F c n J v c k N v Z G U i I F Z h b H V l P S J z V W 5 r b m 9 3 b i I g L z 4 8 R W 5 0 c n k g V H l w Z T 0 i R m l s b G V k Q 2 9 t c G x l d G V S Z X N 1 b H R U b 1 d v c m t z a G V l d C I g V m F s d W U 9 I m w w I i A v P j x F b n R y e S B U e X B l P S J B Z G R l Z F R v R G F 0 Y U 1 v Z G V s I i B W Y W x 1 Z T 0 i b D A i I C 8 + P E V u d H J 5 I F R 5 c G U 9 I k Z p b G x U b 0 R h d G F N b 2 R l b E V u Y W J s Z W Q i I F Z h b H V l P S J s M C I g L z 4 8 R W 5 0 c n k g V H l w Z T 0 i S X N Q c m l 2 Y X R l I i B W Y W x 1 Z T 0 i b D A i I C 8 + P E V u d H J 5 I F R 5 c G U 9 I l F 1 Z X J 5 R 3 J v d X B J R C I g V m F s d W U 9 I n N j N j g 0 M G I 4 Y i 0 1 Z m U 2 L T R h M z A t O D F h Y i 1 j N T g 3 Z W I 4 M j Q 3 Y T k i I C 8 + P E V u d H J 5 I F R 5 c G U 9 I l J l c 3 V s d F R 5 c G U i I F Z h b H V l P S J z R n V u Y 3 R p b 2 4 i I C 8 + P E V u d H J 5 I F R 5 c G U 9 I k Z p b G x P Y m p l Y 3 R U e X B l I i B W Y W x 1 Z T 0 i c 0 N v b m 5 l Y 3 R p b 2 5 P b m x 5 I i A v P j x F b n R y e S B U e X B l P S J M b 2 F k V G 9 S Z X B v c n R E a X N h Y m x l Z C I g V m F s d W U 9 I m w x I i A v P j x F b n R y e S B U e X B l P S J R d W V y e U l E I i B W Y W x 1 Z T 0 i c 2 E x Z G E y Z D Q y L W N j M D M t N D M 3 M C 1 i M 2 Y 2 L T M z O W E 4 Y 2 E 4 Y m V m M y I g L z 4 8 R W 5 0 c n k g V H l w Z T 0 i R m l s b E x h c 3 R V c G R h d G V k I i B W Y W x 1 Z T 0 i Z D I w M j Q t M T A t M D J U M D k 6 N T k 6 N D Y u N T g x M D Q 3 M F o i I C 8 + P E V u d H J 5 I F R 5 c G U 9 I k Z p b G x T d G F 0 d X M i I F Z h b H V l P S J z Q 2 9 t c G x l d G U i I C 8 + P C 9 T d G F i b G V F b n R y a W V z P j w v S X R l b T 4 8 S X R l b T 4 8 S X R l b U x v Y 2 F 0 a W 9 u P j x J d G V t V H l w Z T 5 G b 3 J t d W x h P C 9 J d G V t V H l w Z T 4 8 S X R l b V B h d G g + U 2 V j d G l v b j E v V m 9 v c m J l Z W x k Y m V z d G F u Z C U y M C U y O D I l M j k 8 L 0 l 0 Z W 1 Q Y X R o P j w v S X R l b U x v Y 2 F 0 a W 9 u P j x T d G F i b G V F b n R y a W V z P j x F b n R y e S B U e X B l P S J O Y X Z p Z 2 F 0 a W 9 u U 3 R l c E 5 h b W U i I F Z h b H V l P S J z T m F 2 a W d h d G l l I i A v P j x F b n R y e S B U e X B l P S J G a W x s R W 5 h Y m x l Z C I g V m F s d W U 9 I m w w I i A v P j x F b n R y e S B U e X B l P S J G a W x s Z W R D b 2 1 w b G V 0 Z V J l c 3 V s d F R v V 2 9 y a 3 N o Z W V 0 I i B W Y W x 1 Z T 0 i b D A i I C 8 + P E V u d H J 5 I F R 5 c G U 9 I k Z p b G x U b 0 R h d G F N b 2 R l b E V u Y W J s Z W Q i I F Z h b H V l P S J s M C I g L z 4 8 R W 5 0 c n k g V H l w Z T 0 i S X N Q c m l 2 Y X R l I i B W Y W x 1 Z T 0 i b D A i I C 8 + P E V u d H J 5 I F R 5 c G U 9 I l F 1 Z X J 5 R 3 J v d X B J R C I g V m F s d W U 9 I n M z M j R l Y T A 0 Y i 0 1 O W U 4 L T Q z Z D g t O T V j N y 1 i N T Y 2 N j B k N G E z N T c i I C 8 + P E V u d H J 5 I F R 5 c G U 9 I k 5 h b W V V c G R h d G V k Q W Z 0 Z X J G a W x s I i B W Y W x 1 Z T 0 i b D E i I C 8 + P E V u d H J 5 I F R 5 c G U 9 I k J 1 Z m Z l c k 5 l e H R S Z W Z y Z X N o I i B W Y W x 1 Z T 0 i b D E i I C 8 + P E V u d H J 5 I F R 5 c G U 9 I k Z p b G x P Y m p l Y 3 R U e X B l I i B W Y W x 1 Z T 0 i c 0 N v b m 5 l Y 3 R p b 2 5 P b m x 5 I i A v P j x F b n R y e S B U e X B l P S J S Z X N 1 b H R U e X B l I i B W Y W x 1 Z T 0 i c 0 V 4 Y 2 V w d G l v b i I g L z 4 8 R W 5 0 c n k g V H l w Z T 0 i T G 9 h Z G V k V G 9 B b m F s e X N p c 1 N l c n Z p Y 2 V z I i B W Y W x 1 Z T 0 i b D A i I C 8 + P E V u d H J 5 I F R 5 c G U 9 I k x v Y W R U b 1 J l c G 9 y d E R p c 2 F i b G V k I i B W Y W x 1 Z T 0 i b D E i I C 8 + P E V u d H J 5 I F R 5 c G U 9 I l F 1 Z X J 5 S U Q i I F Z h b H V l P S J z M W Z m Y j A 1 Z T M t M D Q x Z S 0 0 M z Z h L W J l Z m E t O T Q 2 N G U 2 Z j U w M 2 R k I i A v P j x F b n R y e S B U e X B l P S J G a W x s R X J y b 3 J D b 2 R l I i B W Y W x 1 Z T 0 i c 1 V u a 2 5 v d 2 4 i I C 8 + P E V u d H J 5 I F R 5 c G U 9 I k F k Z G V k V G 9 E Y X R h T W 9 k Z W w i I F Z h b H V l P S J s M C I g L z 4 8 R W 5 0 c n k g V H l w Z T 0 i R m l s b E x h c 3 R V c G R h d G V k I i B W Y W x 1 Z T 0 i Z D I w M j Q t M T I t M j F U M T I 6 N D I 6 M z g u N D A z M j I 2 M F o i I C 8 + P E V u d H J 5 I F R 5 c G U 9 I k Z p b G x T d G F 0 d X M i I F Z h b H V l P S J z Q 2 9 t c G x l d G U i I C 8 + P E V u d H J 5 I F R 5 c G U 9 I l J l b G F 0 a W 9 u c 2 h p c E l u Z m 9 D b 2 5 0 Y W l u Z X I i I F Z h b H V l P S J z e y Z x d W 9 0 O 2 N v b H V t b k N v d W 5 0 J n F 1 b 3 Q 7 O j Y s J n F 1 b 3 Q 7 a 2 V 5 Q 2 9 s d W 1 u T m F t Z X M m c X V v d D s 6 W 1 0 s J n F 1 b 3 Q 7 c X V l c n l S Z W x h d G l v b n N o a X B z J n F 1 b 3 Q 7 O l t d L C Z x d W 9 0 O 2 N v b H V t b k l k Z W 5 0 a X R p Z X M m c X V v d D s 6 W y Z x d W 9 0 O 1 N l Y 3 R p b 2 4 x L 0 J p Z W x l b W F u d H J l Z m Z l b i 9 B d X R v U m V t b 3 Z l Z E N v b H V t b n M x L n t O Y W 1 l L D B 9 J n F 1 b 3 Q 7 L C Z x d W 9 0 O 1 N l Y 3 R p b 2 4 x L 0 J p Z W x l b W F u d H J l Z m Z l b i 9 B d X R v U m V t b 3 Z l Z E N v b H V t b n M x L n t F e H R l b n N p b 2 4 s M X 0 m c X V v d D s s J n F 1 b 3 Q 7 U 2 V j d G l v b j E v Q m l l b G V t Y W 5 0 c m V m Z m V u L 0 F 1 d G 9 S Z W 1 v d m V k Q 2 9 s d W 1 u c z E u e 0 R h d G U g Y W N j Z X N z Z W Q s M n 0 m c X V v d D s s J n F 1 b 3 Q 7 U 2 V j d G l v b j E v Q m l l b G V t Y W 5 0 c m V m Z m V u L 0 F 1 d G 9 S Z W 1 v d m V k Q 2 9 s d W 1 u c z E u e 0 R h d G U g b W 9 k a W Z p Z W Q s M 3 0 m c X V v d D s s J n F 1 b 3 Q 7 U 2 V j d G l v b j E v Q m l l b G V t Y W 5 0 c m V m Z m V u L 0 F 1 d G 9 S Z W 1 v d m V k Q 2 9 s d W 1 u c z E u e 0 R h d G U g Y 3 J l Y X R l Z C w 0 f S Z x d W 9 0 O y w m c X V v d D t T Z W N 0 a W 9 u M S 9 C a W V s Z W 1 h b n R y Z W Z m Z W 4 v Q X V 0 b 1 J l b W 9 2 Z W R D b 2 x 1 b W 5 z M S 5 7 R m 9 s Z G V y I F B h d G g s N X 0 m c X V v d D t d L C Z x d W 9 0 O 0 N v b H V t b k N v d W 5 0 J n F 1 b 3 Q 7 O j Y s J n F 1 b 3 Q 7 S 2 V 5 Q 2 9 s d W 1 u T m F t Z X M m c X V v d D s 6 W 1 0 s J n F 1 b 3 Q 7 Q 2 9 s d W 1 u S W R l b n R p d G l l c y Z x d W 9 0 O z p b J n F 1 b 3 Q 7 U 2 V j d G l v b j E v Q m l l b G V t Y W 5 0 c m V m Z m V u L 0 F 1 d G 9 S Z W 1 v d m V k Q 2 9 s d W 1 u c z E u e 0 5 h b W U s M H 0 m c X V v d D s s J n F 1 b 3 Q 7 U 2 V j d G l v b j E v Q m l l b G V t Y W 5 0 c m V m Z m V u L 0 F 1 d G 9 S Z W 1 v d m V k Q 2 9 s d W 1 u c z E u e 0 V 4 d G V u c 2 l v b i w x f S Z x d W 9 0 O y w m c X V v d D t T Z W N 0 a W 9 u M S 9 C a W V s Z W 1 h b n R y Z W Z m Z W 4 v Q X V 0 b 1 J l b W 9 2 Z W R D b 2 x 1 b W 5 z M S 5 7 R G F 0 Z S B h Y 2 N l c 3 N l Z C w y f S Z x d W 9 0 O y w m c X V v d D t T Z W N 0 a W 9 u M S 9 C a W V s Z W 1 h b n R y Z W Z m Z W 4 v Q X V 0 b 1 J l b W 9 2 Z W R D b 2 x 1 b W 5 z M S 5 7 R G F 0 Z S B t b 2 R p Z m l l Z C w z f S Z x d W 9 0 O y w m c X V v d D t T Z W N 0 a W 9 u M S 9 C a W V s Z W 1 h b n R y Z W Z m Z W 4 v Q X V 0 b 1 J l b W 9 2 Z W R D b 2 x 1 b W 5 z M S 5 7 R G F 0 Z S B j c m V h d G V k L D R 9 J n F 1 b 3 Q 7 L C Z x d W 9 0 O 1 N l Y 3 R p b 2 4 x L 0 J p Z W x l b W F u d H J l Z m Z l b i 9 B d X R v U m V t b 3 Z l Z E N v b H V t b n M x L n t G b 2 x k Z X I g U G F 0 a C w 1 f S Z x d W 9 0 O 1 0 s J n F 1 b 3 Q 7 U m V s Y X R p b 2 5 z a G l w S W 5 m b y Z x d W 9 0 O z p b X X 0 i I C 8 + P C 9 T d G F i b G V F b n R y a W V z P j w v S X R l b T 4 8 S X R l b T 4 8 S X R l b U x v Y 2 F 0 a W 9 u P j x J d G V t V H l w Z T 5 G b 3 J t d W x h P C 9 J d G V t V H l w Z T 4 8 S X R l b V B h d G g + U 2 V j d G l v b j E v U G F y Y W 1 l d G V y M j w v S X R l b V B h d G g + P C 9 J d G V t T G 9 j Y X R p b 2 4 + P F N 0 Y W J s Z U V u d H J p Z X M + P E V u d H J 5 I F R 5 c G U 9 I k F k Z G V k V G 9 E Y X R h T W 9 k Z W w i I F Z h b H V l P S J s M C I g L z 4 8 R W 5 0 c n k g V H l w Z T 0 i U m V z d W x 0 V H l w Z S I g V m F s d W U 9 I n N F e G N l c H R p b 2 4 i I C 8 + P E V u d H J 5 I F R 5 c G U 9 I k Z p b G x F b m F i b G V k I i B W Y W x 1 Z T 0 i b D A i I C 8 + P E V u d H J 5 I F R 5 c G U 9 I k Z p b G x F c n J v c k N v Z G U i I F Z h b H V l P S J z V W 5 r b m 9 3 b i I g L z 4 8 R W 5 0 c n k g V H l w Z T 0 i R m l s b E x h c 3 R V c G R h d G V k I i B W Y W x 1 Z T 0 i Z D I w M j E t M D g t M T R U M T M 6 M z M 6 M T I u M j U z M D Q z M V o i I C 8 + P E V u d H J 5 I F R 5 c G U 9 I k Z p b G x l Z E N v b X B s Z X R l U m V z d W x 0 V G 9 X b 3 J r c 2 h l Z X Q i I F Z h b H V l P S J s M C I g L z 4 8 R W 5 0 c n k g V H l w Z T 0 i R m l s b F N 0 Y X R 1 c y I g V m F s d W U 9 I n N D b 2 1 w b G V 0 Z S I g L z 4 8 R W 5 0 c n k g V H l w Z T 0 i R m l s b F R v R G F 0 Y U 1 v Z G V s R W 5 h Y m x l Z C I g V m F s d W U 9 I m w w I i A v P j x F b n R y e S B U e X B l P S J J c 1 B y a X Z h d G U i I F Z h b H V l P S J s M C I g L z 4 8 R W 5 0 c n k g V H l w Z T 0 i U X V l c n l H c m 9 1 c E l E I i B W Y W x 1 Z T 0 i c z M y N G V h M D R i L T U 5 Z T g t N D N k O C 0 5 N W M 3 L W I 1 N j Y 2 M G Q 0 Y T M 1 N y I g L z 4 8 R W 5 0 c n k g V H l w Z T 0 i Q n V m Z m V y T m V 4 d F J l Z n J l c 2 g i I F Z h b H V l P S J s M S I g L z 4 8 R W 5 0 c n k g V H l w Z T 0 i R m l s b E 9 i a m V j d F R 5 c G U i I F Z h b H V l P S J z Q 2 9 u b m V j d G l v b k 9 u b H k i I C 8 + P E V u d H J 5 I F R 5 c G U 9 I k x v Y W R U b 1 J l c G 9 y d E R p c 2 F i b G V k I i B W Y W x 1 Z T 0 i b D E i I C 8 + P E V u d H J 5 I F R 5 c G U 9 I l F 1 Z X J 5 S U Q i I F Z h b H V l P S J z M D Q 3 M W Y x M j U t N D Q x N i 0 0 M T B l L T k 1 N 2 U t O W U w N j Q x Y m U 4 Z T V m I i A v P j w v U 3 R h Y m x l R W 5 0 c m l l c z 4 8 L 0 l 0 Z W 0 + P E l 0 Z W 0 + P E l 0 Z W 1 M b 2 N h d G l v b j 4 8 S X R l b V R 5 c G U + R m 9 y b X V s Y T w v S X R l b V R 5 c G U + P E l 0 Z W 1 Q Y X R o P l N l Y 3 R p b 2 4 x L 1 Z v b 3 J i Z W V s Z G J l c 3 R h b m Q l M j B 0 c m F u c 2 Z v c m 1 l c m V u J T I w J T I 4 M i U y O T w v S X R l b V B h d G g + P C 9 J d G V t T G 9 j Y X R p b 2 4 + P F N 0 Y W J s Z U V u d H J p Z X M + P E V u d H J 5 I F R 5 c G U 9 I k J 1 Z m Z l c k 5 l e H R S Z W Z y Z X N o I i B W Y W x 1 Z T 0 i b D E i I C 8 + P E V u d H J 5 I F R 5 c G U 9 I k Z p b G x F b m F i b G V k I i B W Y W x 1 Z T 0 i b D A i I C 8 + P E V u d H J 5 I F R 5 c G U 9 I k Z p b G x l Z E N v b X B s Z X R l U m V z d W x 0 V G 9 X b 3 J r c 2 h l Z X Q i I F Z h b H V l P S J s M C I g L z 4 8 R W 5 0 c n k g V H l w Z T 0 i R m l s b F R v R G F 0 Y U 1 v Z G V s R W 5 h Y m x l Z C I g V m F s d W U 9 I m w w I i A v P j x F b n R y e S B U e X B l P S J J c 1 B y a X Z h d G U i I F Z h b H V l P S J s M C I g L z 4 8 R W 5 0 c n k g V H l w Z T 0 i U X V l c n l H c m 9 1 c E l E I i B W Y W x 1 Z T 0 i c z I 4 N T g 0 Y W Z k L T Y 0 Z T Q t N D J m N C 0 4 M j g x L W Z i Y j g 4 Z T I z M z E 3 N S I g L z 4 8 R W 5 0 c n k g V H l w Z T 0 i U m V z d W x 0 V H l w Z S I g V m F s d W U 9 I n N F e G N l c H R p b 2 4 i I C 8 + P E V u d H J 5 I F R 5 c G U 9 I k Z p b G x P Y m p l Y 3 R U e X B l I i B W Y W x 1 Z T 0 i c 0 N v b m 5 l Y 3 R p b 2 5 P b m x 5 I i A v P j x F b n R y e S B U e X B l P S J O Y W 1 l V X B k Y X R l Z E F m d G V y R m l s b C I g V m F s d W U 9 I m w x I i A v P j x F b n R y e S B U e X B l P S J M b 2 F k V G 9 S Z X B v c n R E a X N h Y m x l Z C I g V m F s d W U 9 I m w x I i A v P j x F b n R y e S B U e X B l P S J R d W V y e U l E I i B W Y W x 1 Z T 0 i c 2 U 5 Z D M z N m N k L T E 2 O G I t N G R k M y 0 4 O T B i L T I z N 2 V l N T F l M j Q y N S I g L z 4 8 R W 5 0 c n k g V H l w Z T 0 i R m l s b E V y c m 9 y Q 2 9 k Z S I g V m F s d W U 9 I n N V b m t u b 3 d u I i A v P j x F b n R y e S B U e X B l P S J B Z G R l Z F R v R G F 0 Y U 1 v Z G V s I i B W Y W x 1 Z T 0 i b D A i I C 8 + P E V u d H J 5 I F R 5 c G U 9 I k Z p b G x M Y X N 0 V X B k Y X R l Z C I g V m F s d W U 9 I m Q y M D I 0 L T E y L T I x V D E y O j Q y O j M 4 L j Q x O T I 5 N z B a I i A v P j x F b n R y e S B U e X B l P S J G a W x s U 3 R h d H V z I i B W Y W x 1 Z T 0 i c 0 N v b X B s Z X R l I i A v P j w v U 3 R h Y m x l R W 5 0 c m l l c z 4 8 L 0 l 0 Z W 0 + P E l 0 Z W 0 + P E l 0 Z W 1 M b 2 N h d G l v b j 4 8 S X R l b V R 5 c G U + R m 9 y b X V s Y T w v S X R l b V R 5 c G U + P E l 0 Z W 1 Q Y X R o P l N l Y 3 R p b 2 4 x L 0 J l c 3 R h b m Q l M j B 0 c m F u c 2 Z v c m 1 l c m V u J T I w J T I 4 M i U y O T w v S X R l b V B h d G g + P C 9 J d G V t T G 9 j Y X R p b 2 4 + P F N 0 Y W J s Z U V u d H J p Z X M + P E V u d H J 5 I F R 5 c G U 9 I k J 1 Z m Z l c k 5 l e H R S Z W Z y Z X N o I i B W Y W x 1 Z T 0 i b D E i I C 8 + P E V u d H J 5 I F R 5 c G U 9 I k Z p b G x F b m F i b G V k I i B W Y W x 1 Z T 0 i b D A i I C 8 + P E V u d H J 5 I F R 5 c G U 9 I k Z p b G x F c n J v c k N v Z G U i I F Z h b H V l P S J z V W 5 r b m 9 3 b i I g L z 4 8 R W 5 0 c n k g V H l w Z T 0 i R m l s b G V k Q 2 9 t c G x l d G V S Z X N 1 b H R U b 1 d v c m t z a G V l d C I g V m F s d W U 9 I m w w I i A v P j x F b n R y e S B U e X B l P S J B Z G R l Z F R v R G F 0 Y U 1 v Z G V s I i B W Y W x 1 Z T 0 i b D A i I C 8 + P E V u d H J 5 I F R 5 c G U 9 I k Z p b G x U b 0 R h d G F N b 2 R l b E V u Y W J s Z W Q i I F Z h b H V l P S J s M C I g L z 4 8 R W 5 0 c n k g V H l w Z T 0 i S X N Q c m l 2 Y X R l I i B W Y W x 1 Z T 0 i b D A i I C 8 + P E V u d H J 5 I F R 5 c G U 9 I l F 1 Z X J 5 R 3 J v d X B J R C I g V m F s d W U 9 I n M z M j R l Y T A 0 Y i 0 1 O W U 4 L T Q z Z D g t O T V j N y 1 i N T Y 2 N j B k N G E z N T c i I C 8 + P E V u d H J 5 I F R 5 c G U 9 I l J l c 3 V s d F R 5 c G U i I F Z h b H V l P S J z R n V u Y 3 R p b 2 4 i I C 8 + P E V u d H J 5 I F R 5 c G U 9 I k Z p b G x P Y m p l Y 3 R U e X B l I i B W Y W x 1 Z T 0 i c 0 N v b m 5 l Y 3 R p b 2 5 P b m x 5 I i A v P j x F b n R y e S B U e X B l P S J M b 2 F k V G 9 S Z X B v c n R E a X N h Y m x l Z C I g V m F s d W U 9 I m w x I i A v P j x F b n R y e S B U e X B l P S J R d W V y e U l E I i B W Y W x 1 Z T 0 i c z M 2 Y z Y 0 Z D c w L W Q 0 N j E t N D Y 0 Y i 0 4 Z j U 5 L W M 2 M T k 3 M T F j N 2 J m Z C I g L z 4 8 R W 5 0 c n k g V H l w Z T 0 i R m l s b E x h c 3 R V c G R h d G V k I i B W Y W x 1 Z T 0 i Z D I w M j Q t M T A t M D J U M D k 6 N T k 6 N D Y u O D M 3 O D c 4 M F o i I C 8 + P E V u d H J 5 I F R 5 c G U 9 I k Z p b G x T d G F 0 d X M i I F Z h b H V l P S J z Q 2 9 t c G x l d G U i I C 8 + P C 9 T d G F i b G V F b n R y a W V z P j w v S X R l b T 4 8 S X R l b T 4 8 S X R l b U x v Y 2 F 0 a W 9 u P j x J d G V t V H l w Z T 5 G b 3 J t d W x h P C 9 J d G V t V H l w Z T 4 8 S X R l b V B h d G g + U 2 V j d G l v b j E v Q m l l b G V t Y W 5 0 c m V m Z m V u P C 9 J d G V t U G F 0 a D 4 8 L 0 l 0 Z W 1 M b 2 N h d G l v b j 4 8 U 3 R h Y m x l R W 5 0 c m l l c z 4 8 R W 5 0 c n k g V H l w Z T 0 i Q n V m Z m V y T m V 4 d F J l Z n J l c 2 g i I F Z h b H V l P S J s M S I g L z 4 8 R W 5 0 c n k g V H l w Z T 0 i R m l s b E V u Y W J s Z W Q i I F Z h b H V l P S J s M S I g L z 4 8 R W 5 0 c n k g V H l w Z T 0 i R m l s b G V k Q 2 9 t c G x l d G V S Z X N 1 b H R U b 1 d v c m t z a G V l d C I g V m F s d W U 9 I m w x I i A v P j x F b n R y e S B U e X B l P S J G a W x s V G 9 E Y X R h T W 9 k Z W x F b m F i b G V k I i B W Y W x 1 Z T 0 i b D A i I C 8 + P E V u d H J 5 I F R 5 c G U 9 I k l z U H J p d m F 0 Z S I g V m F s d W U 9 I m w w I i A v P j x F b n R y e S B U e X B l P S J R d W V y e U l E I i B W Y W x 1 Z T 0 i c z Q z M D A 4 O D U 5 L T J i O D k t N G M 4 Y S 0 4 N T g w L W I 2 M T B h M z E x M G R i M y I g L z 4 8 R W 5 0 c n k g V H l w Z T 0 i U m V z d W x 0 V H l w Z S I g V m F s d W U 9 I n N U Y W J s Z S I g L z 4 8 R W 5 0 c n k g V H l w Z T 0 i T m F 2 a W d h d G l v b l N 0 Z X B O Y W 1 l I i B W Y W x 1 Z T 0 i c 0 5 h d m l n Y X R p Z S I g L z 4 8 R W 5 0 c n k g V H l w Z T 0 i R m l s b E 9 i a m V j d F R 5 c G U i I F Z h b H V l P S J z V G F i b G U i I C 8 + P E V u d H J 5 I F R 5 c G U 9 I k 5 h b W V V c G R h d G V k Q W Z 0 Z X J G a W x s I i B W Y W x 1 Z T 0 i b D A i I C 8 + P E V u d H J 5 I F R 5 c G U 9 I k Z p b G x U Y X J n Z X Q i I F Z h b H V l P S J z Q m l l b G V t Y W 5 0 c m V m Z m V u X z I i I C 8 + P E V u d H J 5 I F R 5 c G U 9 I k x v Y W R U b 1 J l c G 9 y d E R p c 2 F i b G V k I i B W Y W x 1 Z T 0 i b D A i I C 8 + P E V u d H J 5 I F R 5 c G U 9 I k Z p b G x M Y X N 0 V X B k Y X R l Z C I g V m F s d W U 9 I m Q y M D I 0 L T E y L T I x V D E y O j Q y O j U w L j M x N j g y M j B a I i A v P j x F b n R y e S B U e X B l P S J G a W x s R X J y b 3 J D b 3 V u d C I g V m F s d W U 9 I m w w I i A v P j x F b n R y e S B U e X B l P S J G a W x s Q 2 9 s d W 1 u V H l w Z X M i I F Z h b H V l P S J z Q m d Z R 0 F 3 T U R B d 1 l H Q n d j P S I g L z 4 8 R W 5 0 c n k g V H l w Z T 0 i R m l s b E V y c m 9 y Q 2 9 k Z S I g V m F s d W U 9 I n N V b m t u b 3 d u I i A v P j x F b n R y e S B U e X B l P S J G a W x s Q 2 9 s d W 1 u T m F t Z X M i I F Z h b H V l P S J z W y Z x d W 9 0 O 0 J J R U w m c X V v d D s s J n F 1 b 3 Q 7 V m V y L m 5 y L i Z x d W 9 0 O y w m c X V v d D t O Y W F t I H Z l c m V u a W d p b m c m c X V v d D s s J n F 1 b 3 Q 7 U 2 V u a W 9 y Z W 4 m c X V v d D s s J n F 1 b 3 Q 7 S m 9 u Z y B 2 b 2 x 3 Y X N z Z W 5 l J n F 1 b 3 Q 7 L C Z x d W 9 0 O 0 p 1 b m l v c m V u J n F 1 b 3 Q 7 L C Z x d W 9 0 O 0 F z c G l y Y W 5 0 Z W 4 m c X V v d D s s J n F 1 b 3 Q 7 T 3 B t Z X J r a W 5 n Z W 4 v d G 9 l b G l j a H R p b m c m c X V v d D s s J n F 1 b 3 Q 7 S W 5 6 Z W 5 k a W 5 n L U l E J n F 1 b 3 Q 7 L C Z x d W 9 0 O 0 l u e m V u Z G R h d H V t J n F 1 b 3 Q 7 L C Z x d W 9 0 O 0 R h d G U g V X B k Y X R l Z C Z x d W 9 0 O 1 0 i I C 8 + P E V u d H J 5 I F R 5 c G U 9 I k Z p b G x D b 3 V u d C I g V m F s d W U 9 I m w 3 I i A v P j x F b n R y e S B U e X B l P S J G a W x s U 3 R h d H V z I i B W Y W x 1 Z T 0 i c 0 N v b X B s Z X R l I i A v P j x F b n R y e S B U e X B l P S J B Z G R l Z F R v R G F 0 Y U 1 v Z G V s I i B W Y W x 1 Z T 0 i b D A i I C 8 + P E V u d H J 5 I F R 5 c G U 9 I l J l b G F 0 a W 9 u c 2 h p c E l u Z m 9 D b 2 5 0 Y W l u Z X I i I F Z h b H V l P S J z e y Z x d W 9 0 O 2 N v b H V t b k N v d W 5 0 J n F 1 b 3 Q 7 O j E x L C Z x d W 9 0 O 2 t l e U N v b H V t b k 5 h b W V z J n F 1 b 3 Q 7 O l t d L C Z x d W 9 0 O 3 F 1 Z X J 5 U m V s Y X R p b 2 5 z a G l w c y Z x d W 9 0 O z p b X S w m c X V v d D t j b 2 x 1 b W 5 J Z G V u d G l 0 a W V z J n F 1 b 3 Q 7 O l s m c X V v d D t T Z W N 0 a W 9 u M S 9 C a W V s Z W 1 h b n R y Z W Z m Z W 4 v Q X V 0 b 1 J l b W 9 2 Z W R D b 2 x 1 b W 5 z M S 5 7 Q k l F T C w w f S Z x d W 9 0 O y w m c X V v d D t T Z W N 0 a W 9 u M S 9 C a W V s Z W 1 h b n R y Z W Z m Z W 4 v Q X V 0 b 1 J l b W 9 2 Z W R D b 2 x 1 b W 5 z M S 5 7 V m V y L m 5 y L i w x f S Z x d W 9 0 O y w m c X V v d D t T Z W N 0 a W 9 u M S 9 C a W V s Z W 1 h b n R y Z W Z m Z W 4 v Q X V 0 b 1 J l b W 9 2 Z W R D b 2 x 1 b W 5 z M S 5 7 T m F h b S B 2 Z X J l b m l n a W 5 n L D J 9 J n F 1 b 3 Q 7 L C Z x d W 9 0 O 1 N l Y 3 R p b 2 4 x L 0 J p Z W x l b W F u d H J l Z m Z l b i 9 B d X R v U m V t b 3 Z l Z E N v b H V t b n M x L n t T Z W 5 p b 3 J l b i w z f S Z x d W 9 0 O y w m c X V v d D t T Z W N 0 a W 9 u M S 9 C a W V s Z W 1 h b n R y Z W Z m Z W 4 v Q X V 0 b 1 J l b W 9 2 Z W R D b 2 x 1 b W 5 z M S 5 7 S m 9 u Z y B 2 b 2 x 3 Y X N z Z W 5 l L D R 9 J n F 1 b 3 Q 7 L C Z x d W 9 0 O 1 N l Y 3 R p b 2 4 x L 0 J p Z W x l b W F u d H J l Z m Z l b i 9 B d X R v U m V t b 3 Z l Z E N v b H V t b n M x L n t K d W 5 p b 3 J l b i w 1 f S Z x d W 9 0 O y w m c X V v d D t T Z W N 0 a W 9 u M S 9 C a W V s Z W 1 h b n R y Z W Z m Z W 4 v Q X V 0 b 1 J l b W 9 2 Z W R D b 2 x 1 b W 5 z M S 5 7 Q X N w a X J h b n R l b i w 2 f S Z x d W 9 0 O y w m c X V v d D t T Z W N 0 a W 9 u M S 9 C a W V s Z W 1 h b n R y Z W Z m Z W 4 v Q X V 0 b 1 J l b W 9 2 Z W R D b 2 x 1 b W 5 z M S 5 7 T 3 B t Z X J r a W 5 n Z W 4 v d G 9 l b G l j a H R p b m c s N 3 0 m c X V v d D s s J n F 1 b 3 Q 7 U 2 V j d G l v b j E v Q m l l b G V t Y W 5 0 c m V m Z m V u L 0 F 1 d G 9 S Z W 1 v d m V k Q 2 9 s d W 1 u c z E u e 0 l u e m V u Z G l u Z y 1 J R C w 4 f S Z x d W 9 0 O y w m c X V v d D t T Z W N 0 a W 9 u M S 9 C a W V s Z W 1 h b n R y Z W Z m Z W 4 v Q X V 0 b 1 J l b W 9 2 Z W R D b 2 x 1 b W 5 z M S 5 7 S W 5 6 Z W 5 k Z G F 0 d W 0 s O X 0 m c X V v d D s s J n F 1 b 3 Q 7 U 2 V j d G l v b j E v Q m l l b G V t Y W 5 0 c m V m Z m V u L 0 F 1 d G 9 S Z W 1 v d m V k Q 2 9 s d W 1 u c z E u e 0 R h d G U g V X B k Y X R l Z C w x M H 0 m c X V v d D t d L C Z x d W 9 0 O 0 N v b H V t b k N v d W 5 0 J n F 1 b 3 Q 7 O j E x L C Z x d W 9 0 O 0 t l e U N v b H V t b k 5 h b W V z J n F 1 b 3 Q 7 O l t d L C Z x d W 9 0 O 0 N v b H V t b k l k Z W 5 0 a X R p Z X M m c X V v d D s 6 W y Z x d W 9 0 O 1 N l Y 3 R p b 2 4 x L 0 J p Z W x l b W F u d H J l Z m Z l b i 9 B d X R v U m V t b 3 Z l Z E N v b H V t b n M x L n t C S U V M L D B 9 J n F 1 b 3 Q 7 L C Z x d W 9 0 O 1 N l Y 3 R p b 2 4 x L 0 J p Z W x l b W F u d H J l Z m Z l b i 9 B d X R v U m V t b 3 Z l Z E N v b H V t b n M x L n t W Z X I u b n I u L D F 9 J n F 1 b 3 Q 7 L C Z x d W 9 0 O 1 N l Y 3 R p b 2 4 x L 0 J p Z W x l b W F u d H J l Z m Z l b i 9 B d X R v U m V t b 3 Z l Z E N v b H V t b n M x L n t O Y W F t I H Z l c m V u a W d p b m c s M n 0 m c X V v d D s s J n F 1 b 3 Q 7 U 2 V j d G l v b j E v Q m l l b G V t Y W 5 0 c m V m Z m V u L 0 F 1 d G 9 S Z W 1 v d m V k Q 2 9 s d W 1 u c z E u e 1 N l b m l v c m V u L D N 9 J n F 1 b 3 Q 7 L C Z x d W 9 0 O 1 N l Y 3 R p b 2 4 x L 0 J p Z W x l b W F u d H J l Z m Z l b i 9 B d X R v U m V t b 3 Z l Z E N v b H V t b n M x L n t K b 2 5 n I H Z v b H d h c 3 N l b m U s N H 0 m c X V v d D s s J n F 1 b 3 Q 7 U 2 V j d G l v b j E v Q m l l b G V t Y W 5 0 c m V m Z m V u L 0 F 1 d G 9 S Z W 1 v d m V k Q 2 9 s d W 1 u c z E u e 0 p 1 b m l v c m V u L D V 9 J n F 1 b 3 Q 7 L C Z x d W 9 0 O 1 N l Y 3 R p b 2 4 x L 0 J p Z W x l b W F u d H J l Z m Z l b i 9 B d X R v U m V t b 3 Z l Z E N v b H V t b n M x L n t B c 3 B p c m F u d G V u L D Z 9 J n F 1 b 3 Q 7 L C Z x d W 9 0 O 1 N l Y 3 R p b 2 4 x L 0 J p Z W x l b W F u d H J l Z m Z l b i 9 B d X R v U m V t b 3 Z l Z E N v b H V t b n M x L n t P c G 1 l c m t p b m d l b i 9 0 b 2 V s a W N o d G l u Z y w 3 f S Z x d W 9 0 O y w m c X V v d D t T Z W N 0 a W 9 u M S 9 C a W V s Z W 1 h b n R y Z W Z m Z W 4 v Q X V 0 b 1 J l b W 9 2 Z W R D b 2 x 1 b W 5 z M S 5 7 S W 5 6 Z W 5 k a W 5 n L U l E L D h 9 J n F 1 b 3 Q 7 L C Z x d W 9 0 O 1 N l Y 3 R p b 2 4 x L 0 J p Z W x l b W F u d H J l Z m Z l b i 9 B d X R v U m V t b 3 Z l Z E N v b H V t b n M x L n t J b n p l b m R k Y X R 1 b S w 5 f S Z x d W 9 0 O y w m c X V v d D t T Z W N 0 a W 9 u M S 9 C a W V s Z W 1 h b n R y Z W Z m Z W 4 v Q X V 0 b 1 J l b W 9 2 Z W R D b 2 x 1 b W 5 z M S 5 7 R G F 0 Z S B V c G R h d G V k L D E w f S Z x d W 9 0 O 1 0 s J n F 1 b 3 Q 7 U m V s Y X R p b 2 5 z a G l w S W 5 m b y Z x d W 9 0 O z p b X X 0 i I C 8 + P C 9 T d G F i b G V F b n R y a W V z P j w v S X R l b T 4 8 S X R l b T 4 8 S X R l b U x v Y 2 F 0 a W 9 u P j x J d G V t V H l w Z T 5 G b 3 J t d W x h P C 9 J d G V t V H l w Z T 4 8 S X R l b V B h d G g + U 2 V j d G l v b j E v T E o 8 L 0 l 0 Z W 1 Q Y X R o P j w v S X R l b U x v Y 2 F 0 a W 9 u P j x T d G F i b G V F b n R y a W V z P j x F b n R y e S B U e X B l P S J O Y X Z p Z 2 F 0 a W 9 u U 3 R l c E 5 h b W U i I F Z h b H V l P S J z T m F 2 a W d h d G l l I i A v P j x F b n R y e S B U e X B l P S J G a W x s R W 5 h Y m x l Z C I g V m F s d W U 9 I m w x I i A v P j x F b n R y e S B U e X B l P S J G a W x s Z W R D b 2 1 w b G V 0 Z V J l c 3 V s d F R v V 2 9 y a 3 N o Z W V 0 I i B W Y W x 1 Z T 0 i b D E i I C 8 + P E V u d H J 5 I F R 5 c G U 9 I k Z p b G x U b 0 R h d G F N b 2 R l b E V u Y W J s Z W Q i I F Z h b H V l P S J s M C I g L z 4 8 R W 5 0 c n k g V H l w Z T 0 i S X N Q c m l 2 Y X R l I i B W Y W x 1 Z T 0 i b D A i I C 8 + P E V u d H J 5 I F R 5 c G U 9 I l F 1 Z X J 5 S U Q i I F Z h b H V l P S J z Y 2 R m N T N h Z D Q t Y T F j M y 0 0 Z T h i L W I w Y T Q t M j E 1 Z T k 1 M W Z i O T d l I i A v P j x F b n R y e S B U e X B l P S J O Y W 1 l V X B k Y X R l Z E F m d G V y R m l s b C I g V m F s d W U 9 I m w w I i A v P j x F b n R y e S B U e X B l P S J C d W Z m Z X J O Z X h 0 U m V m c m V z a C I g V m F s d W U 9 I m w x I i A v P j x F b n R y e S B U e X B l P S J G a W x s T 2 J q Z W N 0 V H l w Z S I g V m F s d W U 9 I n N U Y W J s Z S I g L z 4 8 R W 5 0 c n k g V H l w Z T 0 i U m V z d W x 0 V H l w Z S I g V m F s d W U 9 I n N U Y W J s Z S I g L z 4 8 R W 5 0 c n k g V H l w Z T 0 i R m l s b F R h c m d l d C I g V m F s d W U 9 I n N M S i I g L z 4 8 R W 5 0 c n k g V H l w Z T 0 i T G 9 h Z G V k V G 9 B b m F s e X N p c 1 N l c n Z p Y 2 V z I i B W Y W x 1 Z T 0 i b D A i I C 8 + P E V u d H J 5 I F R 5 c G U 9 I k x v Y W R U b 1 J l c G 9 y d E R p c 2 F i b G V k I i B W Y W x 1 Z T 0 i b D A i I C 8 + P E V u d H J 5 I F R 5 c G U 9 I k Z p b G x M Y X N 0 V X B k Y X R l Z C I g V m F s d W U 9 I m Q y M D I 0 L T E y L T I x V D E y O j Q y O j Q 2 L j E 2 N z Q w M j B a I i A v P j x F b n R y e S B U e X B l P S J G a W x s R X J y b 3 J D b 3 V u d C I g V m F s d W U 9 I m w w I i A v P j x F b n R y e S B U e X B l P S J G a W x s Q 2 9 s d W 1 u V H l w Z X M i I F Z h b H V l P S J z Q m d Z R 0 J n W U d C Z 1 l E Q X d N R E F 3 T U R B d 1 l H Q m d N R E F 3 T U R B d 1 l H Q X d N R E F 3 T U R B d 0 1 E Q m d Z R E J n T U d B d 1 l E Q m d N R E F 3 T U d C Z 1 l E Q n d j R 0 J n W U d C Z 1 l E Q m d Z R 0 J n W U d B d 1 l H Q m d Z R C I g L z 4 8 R W 5 0 c n k g V H l w Z T 0 i R m l s b E V y c m 9 y Q 2 9 k Z S I g V m F s d W U 9 I n N V b m t u b 3 d u I i A v P j x F b n R y e S B U e X B l P S J G a W x s Q 2 9 s d W 1 u T m F t Z X M i I F Z h b H V l P S J z W y Z x d W 9 0 O 0 t y a W 5 n Z G F n J n F 1 b 3 Q 7 L C Z x d W 9 0 O 1 Z l c i 5 u c i Z x d W 9 0 O y w m c X V v d D t O Y W F t I H Z l c m V u a W d p b m c m c X V v d D s s J n F 1 b 3 Q 7 R G V s Z W d h d G l l J n F 1 b 3 Q 7 L C Z x d W 9 0 O 0 1 1 e m l l a 2 t v c n B z I G J p a i B t Y X J z I G V u I G R l Z m l s X H U w M E U 5 J n F 1 b 3 Q 7 L C Z x d W 9 0 O 0 R l Z W x u L i B q Z X V n Z G t v b m l u Z 3 N j a G l l d G V u J n F 1 b 3 Q 7 L C Z x d W 9 0 O 0 1 h a i 4 g U 2 V u a W 9 y Z W 4 g a n V y Z X J l b i B i a W o g b W F y c y Z x d W 9 0 O y w m c X V v d D t N Y W o u I E p l d W d k I G p 1 c m V y Z W 4 g Y m l q I G 1 h c n M m c X V v d D s s J n F 1 b 3 Q 7 S 2 9 y c H M g c 2 V u a W 9 y Z W 4 m c X V v d D s s J n F 1 b 3 Q 7 S n V u a W 9 y Z W 4 g a 2 9 y c H M g M S Z x d W 9 0 O y w m c X V v d D t K d W 5 p b 3 J l b i B r b 3 J w c y A y J n F 1 b 3 Q 7 L C Z x d W 9 0 O 0 F z c G l y Y W 5 0 Z W 4 g a 2 9 y c H M g M S Z x d W 9 0 O y w m c X V v d D t B c 3 B p c m F u d G V u I G t v c n B z I D I m c X V v d D s s J n F 1 b 3 Q 7 Q W N y b 2 J h d G l z Y 2 g g c 2 V u a W 9 y Z W 4 m c X V v d D s s J n F 1 b 3 Q 7 Q W N y b 2 J h d G l z Y 2 g g a n V u a W 9 y Z W 4 m c X V v d D s s J n F 1 b 3 Q 7 Q W N y b 2 J h d G l z Y 2 g g Y X N w a X J h b n R l b i Z x d W 9 0 O y w m c X V v d D t T a G 9 3 I H N l b m l v c m V u J n F 1 b 3 Q 7 L C Z x d W 9 0 O 1 N o b 3 c g a n V u a W 9 y Z W 4 m c X V v d D s s J n F 1 b 3 Q 7 U 2 h v d y B h c 3 B p c m F u d G V u J n F 1 b 3 Q 7 L C Z x d W 9 0 O 1 N l b m l v c m V u I G l u Z G l 2 L i Z x d W 9 0 O y w m c X V v d D t K d W 5 p b 3 J l b i B p b m R p d i 4 m c X V v d D s s J n F 1 b 3 Q 7 Q X N w a X J h b n R l b i B p b m R p d i 4 m c X V v d D s s J n F 1 b 3 Q 7 U 2 V u L i B p b m Q g b 3 B n Z W d l d m V u I G 5 h b W V u J n F 1 b 3 Q 7 L C Z x d W 9 0 O 0 p 1 b i 4 g a W 5 k I G 9 w Z 2 V n Z X Z l b i B u Y W 1 l b i Z x d W 9 0 O y w m c X V v d D t B c 3 A u I G l u Z C B v c G d l Z 2 V 2 Z W 4 g b m F t Z W 4 m c X V v d D s s J n F 1 b 3 Q 7 S G 9 v Z m R r b 3 J w c y Z x d W 9 0 O y w m c X V v d D s y Z S B r b 3 J w c y Z x d W 9 0 O y w m c X V v d D t H c m 9 l c G V u L C B 0 Z W F t c y w g Z W 5 z Z W 1 i b G V z I G V u I G R 1 b 1 x 1 M D A y N 3 M m c X V v d D s s J n F 1 b 3 Q 7 U 2 V u a W 9 y Z W 4 m c X V v d D s s J n F 1 b 3 Q 7 S m 9 u Z y B 2 b 2 x 3 Y X N z Z W 5 l J n F 1 b 3 Q 7 L C Z x d W 9 0 O 0 p 1 b m l v c m V u J n F 1 b 3 Q 7 L C Z x d W 9 0 O 0 F z c G l y Y W 5 0 Z W 4 m c X V v d D s s J n F 1 b 3 Q 7 T 3 B n Z W d l d m V u I H N l b m l v c m V u J n F 1 b 3 Q 7 L C Z x d W 9 0 O 0 9 w Z 2 V n Z X Z l b i B q b 2 5 n I H Z v b H d h c 3 N l b m U m c X V v d D s s J n F 1 b 3 Q 7 T 3 B n Z W d l d m V u I G p 1 b m l v c m V u J n F 1 b 3 Q 7 L C Z x d W 9 0 O 0 9 w Z 2 V n Z X Z l b i B h c 3 B p c m F u d G V u J n F 1 b 3 Q 7 L C Z x d W 9 0 O 0 1 h c m t l d G V u d H N 0 Z X J z J n F 1 b 3 Q 7 L C Z x d W 9 0 O 0 x 1 Y 2 h 0 Z 2 V 3 Z W V y J n F 1 b 3 Q 7 L C Z x d W 9 0 O 0 F h b n R h b C B s d W N o d G d l d 2 V l c n N j a H V 0 d G V y c y Z x d W 9 0 O y w m c X V v d D t M d W N o d H B p c 3 R v b 2 w m c X V v d D s s J n F 1 b 3 Q 7 Q W F u d G F s I G x 1 Y 2 h 0 c G l z d G 9 v b H N j a H V 0 d G V y c y Z x d W 9 0 O y w m c X V v d D t I Y W 5 k Y m 9 v Z y Z x d W 9 0 O y w m c X V v d D t B Y W 5 0 Y W w g a G F u Z G J v b 2 d z Y 2 h 1 d H R l c n M m c X V v d D s s J n F 1 b 3 Q 7 S 3 J 1 a X N i b 2 9 n J n F 1 b 3 Q 7 L C Z x d W 9 0 O 0 F h b n R h b C B r c n V p c 2 J v b 2 d z Y 2 h 1 d H R l c n M m c X V v d D s s J n F 1 b 3 Q 7 T H V j a H R n Z X d l Z X I g a m V 1 Z 2 Q g b m l l d C B v d W R l c i B k Y W 4 g M T c g a m F h c i 4 m c X V v d D s s J n F 1 b 3 Q 7 Q W F u d G F s I G t v c n B z Z W 4 m c X V v d D s s J n F 1 b 3 Q 7 T 3 B n Z W d l d m V u I G p l d W d k a 2 9 y c H N l b i B M R y Z x d W 9 0 O y w m c X V v d D t U b 3 R h Y W w g Y W F u d G F s I G R l Z W x u Z W 1 l c n M m c X V v d D s s J n F 1 b 3 Q 7 V 2 F h c n Z h b i B h Y W 5 0 Y W w g a m V 1 Z 2 Q g K H Q v b S A x N S B q Y W F y K S Z x d W 9 0 O y w m c X V v d D t L Y W 5 v b i B l d G M u J n F 1 b 3 Q 7 L C Z x d W 9 0 O 1 B h Y X J k Z W 4 g Z W 4 v b 2 Y g a 2 9 l d H N l b i Z x d W 9 0 O y w m c X V v d D t U b 2 V s a W N o d G l u Z y 9 v c G 1 l c m t p b m d l b i Z x d W 9 0 O y w m c X V v d D t J b n p l b m R p b m c t S U Q m c X V v d D s s J n F 1 b 3 Q 7 S W 5 6 Z W 5 k Z G F 0 d W 0 m c X V v d D s s J n F 1 b 3 Q 7 R G F 0 Z S B V c G R h d G V k J n F 1 b 3 Q 7 L C Z x d W 9 0 O 0 5 h Y W 0 g d m F u I G h l d C B o b 2 9 m Z G t v c n B z J n F 1 b 3 Q 7 L C Z x d W 9 0 O 1 p h b C B v c C B 0 c m V k Z W 4 g Y W x z I C h o b 2 9 m Z G t v c n B z K S Z x d W 9 0 O y w m c X V v d D t W b 3 J t I H Z h b i B 0 d 2 V l I G 1 1 e m l l a 3 d l c m t l b i A o a G 9 v Z m R r b 3 J w c y k m c X V v d D s s J n F 1 b 3 Q 7 W m F s I H V p d G t v b W V u I G l u I G R l O i A o a G 9 v Z m R r b 3 J w c y k m c X V v d D s s J n F 1 b 3 Q 7 T X V 6 a W V r d 2 V y a z E g K G h v b 2 Z k a 2 9 y c H M p J n F 1 b 3 Q 7 L C Z x d W 9 0 O 0 1 1 e m l l a 3 d l c m s y I C h o b 2 9 m Z G t v c n B z K S Z x d W 9 0 O y w m c X V v d D t L b 3 J w c y B i Z X N 0 Y W F 0 I H V p d C A u L i 4 g Z G V l b G 5 l b W V y c y A o a G 9 v Z m R r b 3 J w c y k m c X V v d D s s J n F 1 b 3 Q 7 T m F h b S B 2 Y W 4 g a G V 0 I D J l I G t v c n B z J n F 1 b 3 Q 7 L C Z x d W 9 0 O 1 p h b C B v c C B 0 c m V k Z W 4 g Y W x z I C g y Z S B r b 3 J w c y k m c X V v d D s s J n F 1 b 3 Q 7 V m 9 y b S B 2 Y W 4 g d H d l Z S B t d X p p Z W t 3 Z X J r Z W 4 g K D J l I G t v c n B z K S Z x d W 9 0 O y w m c X V v d D t a Y W w g d W l 0 a 2 9 t Z W 4 g a W 4 g Z G U 6 I C g y Z S B r b 3 J w c y k m c X V v d D s s J n F 1 b 3 Q 7 T X V 6 a W V r d 2 V y a z E g K D J l I G t v c n B z K S Z x d W 9 0 O y w m c X V v d D t N d X p p Z W t 3 Z X J r M i A o M m U g a 2 9 y c H M p J n F 1 b 3 Q 7 L C Z x d W 9 0 O 0 t v c n B z I G J l c 3 R h Y X Q g d W l 0 I C 4 u L i B k Z W V s b m V t Z X J z I C g y Z S B r b 3 J w c y k m c X V v d D s s J n F 1 b 3 Q 7 T W V j a G F u a X N j a G U g b X V 6 a W V r J n F 1 b 3 Q 7 L C Z x d W 9 0 O 0 9 u Z G V y Z G V s Z W 4 m c X V v d D s s J n F 1 b 3 Q 7 U 2 V j d G l l c y Z x d W 9 0 O y w m c X V v d D t M Z W V m d G l q Z H N j Y X R l Z 2 9 y a W U m c X V v d D s s J n F 1 b 3 Q 7 Q W F u d G F s I G 9 w Z 2 V n Z X Z l b i B t Y W p v c m V 0 d G V z J n F 1 b 3 Q 7 X S I g L z 4 8 R W 5 0 c n k g V H l w Z T 0 i R m l s b E N v d W 5 0 I i B W Y W x 1 Z T 0 i b D E i I C 8 + P E V u d H J 5 I F R 5 c G U 9 I k Z p b G x T d G F 0 d X M i I F Z h b H V l P S J z Q 2 9 t c G x l d G U i I C 8 + P E V u d H J 5 I F R 5 c G U 9 I k F k Z G V k V G 9 E Y X R h T W 9 k Z W w i I F Z h b H V l P S J s M C I g L z 4 8 R W 5 0 c n k g V H l w Z T 0 i U m V s Y X R p b 2 5 z a G l w S W 5 m b 0 N v b n R h a W 5 l c i I g V m F s d W U 9 I n N 7 J n F 1 b 3 Q 7 Y 2 9 s d W 1 u Q 2 9 1 b n Q m c X V v d D s 6 N z U s J n F 1 b 3 Q 7 a 2 V 5 Q 2 9 s d W 1 u T m F t Z X M m c X V v d D s 6 W 1 0 s J n F 1 b 3 Q 7 c X V l c n l S Z W x h d G l v b n N o a X B z J n F 1 b 3 Q 7 O l t d L C Z x d W 9 0 O 2 N v b H V t b k l k Z W 5 0 a X R p Z X M m c X V v d D s 6 W y Z x d W 9 0 O 1 N l Y 3 R p b 2 4 x L 0 x K L 0 F 1 d G 9 S Z W 1 v d m V k Q 2 9 s d W 1 u c z E u e 0 t y a W 5 n Z G F n L D B 9 J n F 1 b 3 Q 7 L C Z x d W 9 0 O 1 N l Y 3 R p b 2 4 x L 0 x K L 0 F 1 d G 9 S Z W 1 v d m V k Q 2 9 s d W 1 u c z E u e 1 Z l c i 5 u c i w x f S Z x d W 9 0 O y w m c X V v d D t T Z W N 0 a W 9 u M S 9 M S i 9 B d X R v U m V t b 3 Z l Z E N v b H V t b n M x L n t O Y W F t I H Z l c m V u a W d p b m c s M n 0 m c X V v d D s s J n F 1 b 3 Q 7 U 2 V j d G l v b j E v T E o v Q X V 0 b 1 J l b W 9 2 Z W R D b 2 x 1 b W 5 z M S 5 7 R G V s Z W d h d G l l L D N 9 J n F 1 b 3 Q 7 L C Z x d W 9 0 O 1 N l Y 3 R p b 2 4 x L 0 x K L 0 F 1 d G 9 S Z W 1 v d m V k Q 2 9 s d W 1 u c z E u e 0 1 1 e m l l a 2 t v c n B z I G J p a i B t Y X J z I G V u I G R l Z m l s X H U w M E U 5 L D R 9 J n F 1 b 3 Q 7 L C Z x d W 9 0 O 1 N l Y 3 R p b 2 4 x L 0 x K L 0 F 1 d G 9 S Z W 1 v d m V k Q 2 9 s d W 1 u c z E u e 0 R l Z W x u L i B q Z X V n Z G t v b m l u Z 3 N j a G l l d G V u L D V 9 J n F 1 b 3 Q 7 L C Z x d W 9 0 O 1 N l Y 3 R p b 2 4 x L 0 x K L 0 F 1 d G 9 S Z W 1 v d m V k Q 2 9 s d W 1 u c z E u e 0 1 h a i 4 g U 2 V u a W 9 y Z W 4 g a n V y Z X J l b i B i a W o g b W F y c y w 2 f S Z x d W 9 0 O y w m c X V v d D t T Z W N 0 a W 9 u M S 9 M S i 9 B d X R v U m V t b 3 Z l Z E N v b H V t b n M x L n t N Y W o u I E p l d W d k I G p 1 c m V y Z W 4 g Y m l q I G 1 h c n M s N 3 0 m c X V v d D s s J n F 1 b 3 Q 7 U 2 V j d G l v b j E v T E o v Q X V 0 b 1 J l b W 9 2 Z W R D b 2 x 1 b W 5 z M S 5 7 S 2 9 y c H M g c 2 V u a W 9 y Z W 4 s O H 0 m c X V v d D s s J n F 1 b 3 Q 7 U 2 V j d G l v b j E v T E o v Q X V 0 b 1 J l b W 9 2 Z W R D b 2 x 1 b W 5 z M S 5 7 S n V u a W 9 y Z W 4 g a 2 9 y c H M g M S w 5 f S Z x d W 9 0 O y w m c X V v d D t T Z W N 0 a W 9 u M S 9 M S i 9 B d X R v U m V t b 3 Z l Z E N v b H V t b n M x L n t K d W 5 p b 3 J l b i B r b 3 J w c y A y L D E w f S Z x d W 9 0 O y w m c X V v d D t T Z W N 0 a W 9 u M S 9 M S i 9 B d X R v U m V t b 3 Z l Z E N v b H V t b n M x L n t B c 3 B p c m F u d G V u I G t v c n B z I D E s M T F 9 J n F 1 b 3 Q 7 L C Z x d W 9 0 O 1 N l Y 3 R p b 2 4 x L 0 x K L 0 F 1 d G 9 S Z W 1 v d m V k Q 2 9 s d W 1 u c z E u e 0 F z c G l y Y W 5 0 Z W 4 g a 2 9 y c H M g M i w x M n 0 m c X V v d D s s J n F 1 b 3 Q 7 U 2 V j d G l v b j E v T E o v Q X V 0 b 1 J l b W 9 2 Z W R D b 2 x 1 b W 5 z M S 5 7 Q W N y b 2 J h d G l z Y 2 g g c 2 V u a W 9 y Z W 4 s M T N 9 J n F 1 b 3 Q 7 L C Z x d W 9 0 O 1 N l Y 3 R p b 2 4 x L 0 x K L 0 F 1 d G 9 S Z W 1 v d m V k Q 2 9 s d W 1 u c z E u e 0 F j c m 9 i Y X R p c 2 N o I G p 1 b m l v c m V u L D E 0 f S Z x d W 9 0 O y w m c X V v d D t T Z W N 0 a W 9 u M S 9 M S i 9 B d X R v U m V t b 3 Z l Z E N v b H V t b n M x L n t B Y 3 J v Y m F 0 a X N j a C B h c 3 B p c m F u d G V u L D E 1 f S Z x d W 9 0 O y w m c X V v d D t T Z W N 0 a W 9 u M S 9 M S i 9 B d X R v U m V t b 3 Z l Z E N v b H V t b n M x L n t T a G 9 3 I H N l b m l v c m V u L D E 2 f S Z x d W 9 0 O y w m c X V v d D t T Z W N 0 a W 9 u M S 9 M S i 9 B d X R v U m V t b 3 Z l Z E N v b H V t b n M x L n t T a G 9 3 I G p 1 b m l v c m V u L D E 3 f S Z x d W 9 0 O y w m c X V v d D t T Z W N 0 a W 9 u M S 9 M S i 9 B d X R v U m V t b 3 Z l Z E N v b H V t b n M x L n t T a G 9 3 I G F z c G l y Y W 5 0 Z W 4 s M T h 9 J n F 1 b 3 Q 7 L C Z x d W 9 0 O 1 N l Y 3 R p b 2 4 x L 0 x K L 0 F 1 d G 9 S Z W 1 v d m V k Q 2 9 s d W 1 u c z E u e 1 N l b m l v c m V u I G l u Z G l 2 L i w x O X 0 m c X V v d D s s J n F 1 b 3 Q 7 U 2 V j d G l v b j E v T E o v Q X V 0 b 1 J l b W 9 2 Z W R D b 2 x 1 b W 5 z M S 5 7 S n V u a W 9 y Z W 4 g a W 5 k a X Y u L D I w f S Z x d W 9 0 O y w m c X V v d D t T Z W N 0 a W 9 u M S 9 M S i 9 B d X R v U m V t b 3 Z l Z E N v b H V t b n M x L n t B c 3 B p c m F u d G V u I G l u Z G l 2 L i w y M X 0 m c X V v d D s s J n F 1 b 3 Q 7 U 2 V j d G l v b j E v T E o v Q X V 0 b 1 J l b W 9 2 Z W R D b 2 x 1 b W 5 z M S 5 7 U 2 V u L i B p b m Q g b 3 B n Z W d l d m V u I G 5 h b W V u L D I y f S Z x d W 9 0 O y w m c X V v d D t T Z W N 0 a W 9 u M S 9 M S i 9 B d X R v U m V t b 3 Z l Z E N v b H V t b n M x L n t K d W 4 u I G l u Z C B v c G d l Z 2 V 2 Z W 4 g b m F t Z W 4 s M j N 9 J n F 1 b 3 Q 7 L C Z x d W 9 0 O 1 N l Y 3 R p b 2 4 x L 0 x K L 0 F 1 d G 9 S Z W 1 v d m V k Q 2 9 s d W 1 u c z E u e 0 F z c C 4 g a W 5 k I G 9 w Z 2 V n Z X Z l b i B u Y W 1 l b i w y N H 0 m c X V v d D s s J n F 1 b 3 Q 7 U 2 V j d G l v b j E v T E o v Q X V 0 b 1 J l b W 9 2 Z W R D b 2 x 1 b W 5 z M S 5 7 S G 9 v Z m R r b 3 J w c y w y N X 0 m c X V v d D s s J n F 1 b 3 Q 7 U 2 V j d G l v b j E v T E o v Q X V 0 b 1 J l b W 9 2 Z W R D b 2 x 1 b W 5 z M S 5 7 M m U g a 2 9 y c H M s M j Z 9 J n F 1 b 3 Q 7 L C Z x d W 9 0 O 1 N l Y 3 R p b 2 4 x L 0 x K L 0 F 1 d G 9 S Z W 1 v d m V k Q 2 9 s d W 1 u c z E u e 0 d y b 2 V w Z W 4 s I H R l Y W 1 z L C B l b n N l b W J s Z X M g Z W 4 g Z H V v X H U w M D I 3 c y w y N 3 0 m c X V v d D s s J n F 1 b 3 Q 7 U 2 V j d G l v b j E v T E o v Q X V 0 b 1 J l b W 9 2 Z W R D b 2 x 1 b W 5 z M S 5 7 U 2 V u a W 9 y Z W 4 s M j h 9 J n F 1 b 3 Q 7 L C Z x d W 9 0 O 1 N l Y 3 R p b 2 4 x L 0 x K L 0 F 1 d G 9 S Z W 1 v d m V k Q 2 9 s d W 1 u c z E u e 0 p v b m c g d m 9 s d 2 F z c 2 V u Z S w y O X 0 m c X V v d D s s J n F 1 b 3 Q 7 U 2 V j d G l v b j E v T E o v Q X V 0 b 1 J l b W 9 2 Z W R D b 2 x 1 b W 5 z M S 5 7 S n V u a W 9 y Z W 4 s M z B 9 J n F 1 b 3 Q 7 L C Z x d W 9 0 O 1 N l Y 3 R p b 2 4 x L 0 x K L 0 F 1 d G 9 S Z W 1 v d m V k Q 2 9 s d W 1 u c z E u e 0 F z c G l y Y W 5 0 Z W 4 s M z F 9 J n F 1 b 3 Q 7 L C Z x d W 9 0 O 1 N l Y 3 R p b 2 4 x L 0 x K L 0 F 1 d G 9 S Z W 1 v d m V k Q 2 9 s d W 1 u c z E u e 0 9 w Z 2 V n Z X Z l b i B z Z W 5 p b 3 J l b i w z M n 0 m c X V v d D s s J n F 1 b 3 Q 7 U 2 V j d G l v b j E v T E o v Q X V 0 b 1 J l b W 9 2 Z W R D b 2 x 1 b W 5 z M S 5 7 T 3 B n Z W d l d m V u I G p v b m c g d m 9 s d 2 F z c 2 V u Z S w z M 3 0 m c X V v d D s s J n F 1 b 3 Q 7 U 2 V j d G l v b j E v T E o v Q X V 0 b 1 J l b W 9 2 Z W R D b 2 x 1 b W 5 z M S 5 7 T 3 B n Z W d l d m V u I G p 1 b m l v c m V u L D M 0 f S Z x d W 9 0 O y w m c X V v d D t T Z W N 0 a W 9 u M S 9 M S i 9 B d X R v U m V t b 3 Z l Z E N v b H V t b n M x L n t P c G d l Z 2 V 2 Z W 4 g Y X N w a X J h b n R l b i w z N X 0 m c X V v d D s s J n F 1 b 3 Q 7 U 2 V j d G l v b j E v T E o v Q X V 0 b 1 J l b W 9 2 Z W R D b 2 x 1 b W 5 z M S 5 7 T W F y a 2 V 0 Z W 5 0 c 3 R l c n M s M z Z 9 J n F 1 b 3 Q 7 L C Z x d W 9 0 O 1 N l Y 3 R p b 2 4 x L 0 x K L 0 F 1 d G 9 S Z W 1 v d m V k Q 2 9 s d W 1 u c z E u e 0 x 1 Y 2 h 0 Z 2 V 3 Z W V y L D M 3 f S Z x d W 9 0 O y w m c X V v d D t T Z W N 0 a W 9 u M S 9 M S i 9 B d X R v U m V t b 3 Z l Z E N v b H V t b n M x L n t B Y W 5 0 Y W w g b H V j a H R n Z X d l Z X J z Y 2 h 1 d H R l c n M s M z h 9 J n F 1 b 3 Q 7 L C Z x d W 9 0 O 1 N l Y 3 R p b 2 4 x L 0 x K L 0 F 1 d G 9 S Z W 1 v d m V k Q 2 9 s d W 1 u c z E u e 0 x 1 Y 2 h 0 c G l z d G 9 v b C w z O X 0 m c X V v d D s s J n F 1 b 3 Q 7 U 2 V j d G l v b j E v T E o v Q X V 0 b 1 J l b W 9 2 Z W R D b 2 x 1 b W 5 z M S 5 7 Q W F u d G F s I G x 1 Y 2 h 0 c G l z d G 9 v b H N j a H V 0 d G V y c y w 0 M H 0 m c X V v d D s s J n F 1 b 3 Q 7 U 2 V j d G l v b j E v T E o v Q X V 0 b 1 J l b W 9 2 Z W R D b 2 x 1 b W 5 z M S 5 7 S G F u Z G J v b 2 c s N D F 9 J n F 1 b 3 Q 7 L C Z x d W 9 0 O 1 N l Y 3 R p b 2 4 x L 0 x K L 0 F 1 d G 9 S Z W 1 v d m V k Q 2 9 s d W 1 u c z E u e 0 F h b n R h b C B o Y W 5 k Y m 9 v Z 3 N j a H V 0 d G V y c y w 0 M n 0 m c X V v d D s s J n F 1 b 3 Q 7 U 2 V j d G l v b j E v T E o v Q X V 0 b 1 J l b W 9 2 Z W R D b 2 x 1 b W 5 z M S 5 7 S 3 J 1 a X N i b 2 9 n L D Q z f S Z x d W 9 0 O y w m c X V v d D t T Z W N 0 a W 9 u M S 9 M S i 9 B d X R v U m V t b 3 Z l Z E N v b H V t b n M x L n t B Y W 5 0 Y W w g a 3 J 1 a X N i b 2 9 n c 2 N o d X R 0 Z X J z L D Q 0 f S Z x d W 9 0 O y w m c X V v d D t T Z W N 0 a W 9 u M S 9 M S i 9 B d X R v U m V t b 3 Z l Z E N v b H V t b n M x L n t M d W N o d G d l d 2 V l c i B q Z X V n Z C B u a W V 0 I G 9 1 Z G V y I G R h b i A x N y B q Y W F y L i w 0 N X 0 m c X V v d D s s J n F 1 b 3 Q 7 U 2 V j d G l v b j E v T E o v Q X V 0 b 1 J l b W 9 2 Z W R D b 2 x 1 b W 5 z M S 5 7 Q W F u d G F s I G t v c n B z Z W 4 s N D Z 9 J n F 1 b 3 Q 7 L C Z x d W 9 0 O 1 N l Y 3 R p b 2 4 x L 0 x K L 0 F 1 d G 9 S Z W 1 v d m V k Q 2 9 s d W 1 u c z E u e 0 9 w Z 2 V n Z X Z l b i B q Z X V n Z G t v c n B z Z W 4 g T E c s N D d 9 J n F 1 b 3 Q 7 L C Z x d W 9 0 O 1 N l Y 3 R p b 2 4 x L 0 x K L 0 F 1 d G 9 S Z W 1 v d m V k Q 2 9 s d W 1 u c z E u e 1 R v d G F h b C B h Y W 5 0 Y W w g Z G V l b G 5 l b W V y c y w 0 O H 0 m c X V v d D s s J n F 1 b 3 Q 7 U 2 V j d G l v b j E v T E o v Q X V 0 b 1 J l b W 9 2 Z W R D b 2 x 1 b W 5 z M S 5 7 V 2 F h c n Z h b i B h Y W 5 0 Y W w g a m V 1 Z 2 Q g K H Q v b S A x N S B q Y W F y K S w 0 O X 0 m c X V v d D s s J n F 1 b 3 Q 7 U 2 V j d G l v b j E v T E o v Q X V 0 b 1 J l b W 9 2 Z W R D b 2 x 1 b W 5 z M S 5 7 S 2 F u b 2 4 g Z X R j L i w 1 M H 0 m c X V v d D s s J n F 1 b 3 Q 7 U 2 V j d G l v b j E v T E o v Q X V 0 b 1 J l b W 9 2 Z W R D b 2 x 1 b W 5 z M S 5 7 U G F h c m R l b i B l b i 9 v Z i B r b 2 V 0 c 2 V u L D U x f S Z x d W 9 0 O y w m c X V v d D t T Z W N 0 a W 9 u M S 9 M S i 9 B d X R v U m V t b 3 Z l Z E N v b H V t b n M x L n t U b 2 V s a W N o d G l u Z y 9 v c G 1 l c m t p b m d l b i w 1 M n 0 m c X V v d D s s J n F 1 b 3 Q 7 U 2 V j d G l v b j E v T E o v Q X V 0 b 1 J l b W 9 2 Z W R D b 2 x 1 b W 5 z M S 5 7 S W 5 6 Z W 5 k a W 5 n L U l E L D U z f S Z x d W 9 0 O y w m c X V v d D t T Z W N 0 a W 9 u M S 9 M S i 9 B d X R v U m V t b 3 Z l Z E N v b H V t b n M x L n t J b n p l b m R k Y X R 1 b S w 1 N H 0 m c X V v d D s s J n F 1 b 3 Q 7 U 2 V j d G l v b j E v T E o v Q X V 0 b 1 J l b W 9 2 Z W R D b 2 x 1 b W 5 z M S 5 7 R G F 0 Z S B V c G R h d G V k L D U 1 f S Z x d W 9 0 O y w m c X V v d D t T Z W N 0 a W 9 u M S 9 M S i 9 B d X R v U m V t b 3 Z l Z E N v b H V t b n M x L n t O Y W F t I H Z h b i B o Z X Q g a G 9 v Z m R r b 3 J w c y w 1 N n 0 m c X V v d D s s J n F 1 b 3 Q 7 U 2 V j d G l v b j E v T E o v Q X V 0 b 1 J l b W 9 2 Z W R D b 2 x 1 b W 5 z M S 5 7 W m F s I G 9 w I H R y Z W R l b i B h b H M g K G h v b 2 Z k a 2 9 y c H M p L D U 3 f S Z x d W 9 0 O y w m c X V v d D t T Z W N 0 a W 9 u M S 9 M S i 9 B d X R v U m V t b 3 Z l Z E N v b H V t b n M x L n t W b 3 J t I H Z h b i B 0 d 2 V l I G 1 1 e m l l a 3 d l c m t l b i A o a G 9 v Z m R r b 3 J w c y k s N T h 9 J n F 1 b 3 Q 7 L C Z x d W 9 0 O 1 N l Y 3 R p b 2 4 x L 0 x K L 0 F 1 d G 9 S Z W 1 v d m V k Q 2 9 s d W 1 u c z E u e 1 p h b C B 1 a X R r b 2 1 l b i B p b i B k Z T o g K G h v b 2 Z k a 2 9 y c H M p L D U 5 f S Z x d W 9 0 O y w m c X V v d D t T Z W N 0 a W 9 u M S 9 M S i 9 B d X R v U m V t b 3 Z l Z E N v b H V t b n M x L n t N d X p p Z W t 3 Z X J r M S A o a G 9 v Z m R r b 3 J w c y k s N j B 9 J n F 1 b 3 Q 7 L C Z x d W 9 0 O 1 N l Y 3 R p b 2 4 x L 0 x K L 0 F 1 d G 9 S Z W 1 v d m V k Q 2 9 s d W 1 u c z E u e 0 1 1 e m l l a 3 d l c m s y I C h o b 2 9 m Z G t v c n B z K S w 2 M X 0 m c X V v d D s s J n F 1 b 3 Q 7 U 2 V j d G l v b j E v T E o v Q X V 0 b 1 J l b W 9 2 Z W R D b 2 x 1 b W 5 z M S 5 7 S 2 9 y c H M g Y m V z d G F h d C B 1 a X Q g L i 4 u I G R l Z W x u Z W 1 l c n M g K G h v b 2 Z k a 2 9 y c H M p L D Y y f S Z x d W 9 0 O y w m c X V v d D t T Z W N 0 a W 9 u M S 9 M S i 9 B d X R v U m V t b 3 Z l Z E N v b H V t b n M x L n t O Y W F t I H Z h b i B o Z X Q g M m U g a 2 9 y c H M s N j N 9 J n F 1 b 3 Q 7 L C Z x d W 9 0 O 1 N l Y 3 R p b 2 4 x L 0 x K L 0 F 1 d G 9 S Z W 1 v d m V k Q 2 9 s d W 1 u c z E u e 1 p h b C B v c C B 0 c m V k Z W 4 g Y W x z I C g y Z S B r b 3 J w c y k s N j R 9 J n F 1 b 3 Q 7 L C Z x d W 9 0 O 1 N l Y 3 R p b 2 4 x L 0 x K L 0 F 1 d G 9 S Z W 1 v d m V k Q 2 9 s d W 1 u c z E u e 1 Z v c m 0 g d m F u I H R 3 Z W U g b X V 6 a W V r d 2 V y a 2 V u I C g y Z S B r b 3 J w c y k s N j V 9 J n F 1 b 3 Q 7 L C Z x d W 9 0 O 1 N l Y 3 R p b 2 4 x L 0 x K L 0 F 1 d G 9 S Z W 1 v d m V k Q 2 9 s d W 1 u c z E u e 1 p h b C B 1 a X R r b 2 1 l b i B p b i B k Z T o g K D J l I G t v c n B z K S w 2 N n 0 m c X V v d D s s J n F 1 b 3 Q 7 U 2 V j d G l v b j E v T E o v Q X V 0 b 1 J l b W 9 2 Z W R D b 2 x 1 b W 5 z M S 5 7 T X V 6 a W V r d 2 V y a z E g K D J l I G t v c n B z K S w 2 N 3 0 m c X V v d D s s J n F 1 b 3 Q 7 U 2 V j d G l v b j E v T E o v Q X V 0 b 1 J l b W 9 2 Z W R D b 2 x 1 b W 5 z M S 5 7 T X V 6 a W V r d 2 V y a z I g K D J l I G t v c n B z K S w 2 O H 0 m c X V v d D s s J n F 1 b 3 Q 7 U 2 V j d G l v b j E v T E o v Q X V 0 b 1 J l b W 9 2 Z W R D b 2 x 1 b W 5 z M S 5 7 S 2 9 y c H M g Y m V z d G F h d C B 1 a X Q g L i 4 u I G R l Z W x u Z W 1 l c n M g K D J l I G t v c n B z K S w 2 O X 0 m c X V v d D s s J n F 1 b 3 Q 7 U 2 V j d G l v b j E v T E o v Q X V 0 b 1 J l b W 9 2 Z W R D b 2 x 1 b W 5 z M S 5 7 T W V j a G F u a X N j a G U g b X V 6 a W V r L D c w f S Z x d W 9 0 O y w m c X V v d D t T Z W N 0 a W 9 u M S 9 M S i 9 B d X R v U m V t b 3 Z l Z E N v b H V t b n M x L n t P b m R l c m R l b G V u L D c x f S Z x d W 9 0 O y w m c X V v d D t T Z W N 0 a W 9 u M S 9 M S i 9 B d X R v U m V t b 3 Z l Z E N v b H V t b n M x L n t T Z W N 0 a W V z L D c y f S Z x d W 9 0 O y w m c X V v d D t T Z W N 0 a W 9 u M S 9 M S i 9 B d X R v U m V t b 3 Z l Z E N v b H V t b n M x L n t M Z W V m d G l q Z H N j Y X R l Z 2 9 y a W U s N z N 9 J n F 1 b 3 Q 7 L C Z x d W 9 0 O 1 N l Y 3 R p b 2 4 x L 0 x K L 0 F 1 d G 9 S Z W 1 v d m V k Q 2 9 s d W 1 u c z E u e 0 F h b n R h b C B v c G d l Z 2 V 2 Z W 4 g b W F q b 3 J l d H R l c y w 3 N H 0 m c X V v d D t d L C Z x d W 9 0 O 0 N v b H V t b k N v d W 5 0 J n F 1 b 3 Q 7 O j c 1 L C Z x d W 9 0 O 0 t l e U N v b H V t b k 5 h b W V z J n F 1 b 3 Q 7 O l t d L C Z x d W 9 0 O 0 N v b H V t b k l k Z W 5 0 a X R p Z X M m c X V v d D s 6 W y Z x d W 9 0 O 1 N l Y 3 R p b 2 4 x L 0 x K L 0 F 1 d G 9 S Z W 1 v d m V k Q 2 9 s d W 1 u c z E u e 0 t y a W 5 n Z G F n L D B 9 J n F 1 b 3 Q 7 L C Z x d W 9 0 O 1 N l Y 3 R p b 2 4 x L 0 x K L 0 F 1 d G 9 S Z W 1 v d m V k Q 2 9 s d W 1 u c z E u e 1 Z l c i 5 u c i w x f S Z x d W 9 0 O y w m c X V v d D t T Z W N 0 a W 9 u M S 9 M S i 9 B d X R v U m V t b 3 Z l Z E N v b H V t b n M x L n t O Y W F t I H Z l c m V u a W d p b m c s M n 0 m c X V v d D s s J n F 1 b 3 Q 7 U 2 V j d G l v b j E v T E o v Q X V 0 b 1 J l b W 9 2 Z W R D b 2 x 1 b W 5 z M S 5 7 R G V s Z W d h d G l l L D N 9 J n F 1 b 3 Q 7 L C Z x d W 9 0 O 1 N l Y 3 R p b 2 4 x L 0 x K L 0 F 1 d G 9 S Z W 1 v d m V k Q 2 9 s d W 1 u c z E u e 0 1 1 e m l l a 2 t v c n B z I G J p a i B t Y X J z I G V u I G R l Z m l s X H U w M E U 5 L D R 9 J n F 1 b 3 Q 7 L C Z x d W 9 0 O 1 N l Y 3 R p b 2 4 x L 0 x K L 0 F 1 d G 9 S Z W 1 v d m V k Q 2 9 s d W 1 u c z E u e 0 R l Z W x u L i B q Z X V n Z G t v b m l u Z 3 N j a G l l d G V u L D V 9 J n F 1 b 3 Q 7 L C Z x d W 9 0 O 1 N l Y 3 R p b 2 4 x L 0 x K L 0 F 1 d G 9 S Z W 1 v d m V k Q 2 9 s d W 1 u c z E u e 0 1 h a i 4 g U 2 V u a W 9 y Z W 4 g a n V y Z X J l b i B i a W o g b W F y c y w 2 f S Z x d W 9 0 O y w m c X V v d D t T Z W N 0 a W 9 u M S 9 M S i 9 B d X R v U m V t b 3 Z l Z E N v b H V t b n M x L n t N Y W o u I E p l d W d k I G p 1 c m V y Z W 4 g Y m l q I G 1 h c n M s N 3 0 m c X V v d D s s J n F 1 b 3 Q 7 U 2 V j d G l v b j E v T E o v Q X V 0 b 1 J l b W 9 2 Z W R D b 2 x 1 b W 5 z M S 5 7 S 2 9 y c H M g c 2 V u a W 9 y Z W 4 s O H 0 m c X V v d D s s J n F 1 b 3 Q 7 U 2 V j d G l v b j E v T E o v Q X V 0 b 1 J l b W 9 2 Z W R D b 2 x 1 b W 5 z M S 5 7 S n V u a W 9 y Z W 4 g a 2 9 y c H M g M S w 5 f S Z x d W 9 0 O y w m c X V v d D t T Z W N 0 a W 9 u M S 9 M S i 9 B d X R v U m V t b 3 Z l Z E N v b H V t b n M x L n t K d W 5 p b 3 J l b i B r b 3 J w c y A y L D E w f S Z x d W 9 0 O y w m c X V v d D t T Z W N 0 a W 9 u M S 9 M S i 9 B d X R v U m V t b 3 Z l Z E N v b H V t b n M x L n t B c 3 B p c m F u d G V u I G t v c n B z I D E s M T F 9 J n F 1 b 3 Q 7 L C Z x d W 9 0 O 1 N l Y 3 R p b 2 4 x L 0 x K L 0 F 1 d G 9 S Z W 1 v d m V k Q 2 9 s d W 1 u c z E u e 0 F z c G l y Y W 5 0 Z W 4 g a 2 9 y c H M g M i w x M n 0 m c X V v d D s s J n F 1 b 3 Q 7 U 2 V j d G l v b j E v T E o v Q X V 0 b 1 J l b W 9 2 Z W R D b 2 x 1 b W 5 z M S 5 7 Q W N y b 2 J h d G l z Y 2 g g c 2 V u a W 9 y Z W 4 s M T N 9 J n F 1 b 3 Q 7 L C Z x d W 9 0 O 1 N l Y 3 R p b 2 4 x L 0 x K L 0 F 1 d G 9 S Z W 1 v d m V k Q 2 9 s d W 1 u c z E u e 0 F j c m 9 i Y X R p c 2 N o I G p 1 b m l v c m V u L D E 0 f S Z x d W 9 0 O y w m c X V v d D t T Z W N 0 a W 9 u M S 9 M S i 9 B d X R v U m V t b 3 Z l Z E N v b H V t b n M x L n t B Y 3 J v Y m F 0 a X N j a C B h c 3 B p c m F u d G V u L D E 1 f S Z x d W 9 0 O y w m c X V v d D t T Z W N 0 a W 9 u M S 9 M S i 9 B d X R v U m V t b 3 Z l Z E N v b H V t b n M x L n t T a G 9 3 I H N l b m l v c m V u L D E 2 f S Z x d W 9 0 O y w m c X V v d D t T Z W N 0 a W 9 u M S 9 M S i 9 B d X R v U m V t b 3 Z l Z E N v b H V t b n M x L n t T a G 9 3 I G p 1 b m l v c m V u L D E 3 f S Z x d W 9 0 O y w m c X V v d D t T Z W N 0 a W 9 u M S 9 M S i 9 B d X R v U m V t b 3 Z l Z E N v b H V t b n M x L n t T a G 9 3 I G F z c G l y Y W 5 0 Z W 4 s M T h 9 J n F 1 b 3 Q 7 L C Z x d W 9 0 O 1 N l Y 3 R p b 2 4 x L 0 x K L 0 F 1 d G 9 S Z W 1 v d m V k Q 2 9 s d W 1 u c z E u e 1 N l b m l v c m V u I G l u Z G l 2 L i w x O X 0 m c X V v d D s s J n F 1 b 3 Q 7 U 2 V j d G l v b j E v T E o v Q X V 0 b 1 J l b W 9 2 Z W R D b 2 x 1 b W 5 z M S 5 7 S n V u a W 9 y Z W 4 g a W 5 k a X Y u L D I w f S Z x d W 9 0 O y w m c X V v d D t T Z W N 0 a W 9 u M S 9 M S i 9 B d X R v U m V t b 3 Z l Z E N v b H V t b n M x L n t B c 3 B p c m F u d G V u I G l u Z G l 2 L i w y M X 0 m c X V v d D s s J n F 1 b 3 Q 7 U 2 V j d G l v b j E v T E o v Q X V 0 b 1 J l b W 9 2 Z W R D b 2 x 1 b W 5 z M S 5 7 U 2 V u L i B p b m Q g b 3 B n Z W d l d m V u I G 5 h b W V u L D I y f S Z x d W 9 0 O y w m c X V v d D t T Z W N 0 a W 9 u M S 9 M S i 9 B d X R v U m V t b 3 Z l Z E N v b H V t b n M x L n t K d W 4 u I G l u Z C B v c G d l Z 2 V 2 Z W 4 g b m F t Z W 4 s M j N 9 J n F 1 b 3 Q 7 L C Z x d W 9 0 O 1 N l Y 3 R p b 2 4 x L 0 x K L 0 F 1 d G 9 S Z W 1 v d m V k Q 2 9 s d W 1 u c z E u e 0 F z c C 4 g a W 5 k I G 9 w Z 2 V n Z X Z l b i B u Y W 1 l b i w y N H 0 m c X V v d D s s J n F 1 b 3 Q 7 U 2 V j d G l v b j E v T E o v Q X V 0 b 1 J l b W 9 2 Z W R D b 2 x 1 b W 5 z M S 5 7 S G 9 v Z m R r b 3 J w c y w y N X 0 m c X V v d D s s J n F 1 b 3 Q 7 U 2 V j d G l v b j E v T E o v Q X V 0 b 1 J l b W 9 2 Z W R D b 2 x 1 b W 5 z M S 5 7 M m U g a 2 9 y c H M s M j Z 9 J n F 1 b 3 Q 7 L C Z x d W 9 0 O 1 N l Y 3 R p b 2 4 x L 0 x K L 0 F 1 d G 9 S Z W 1 v d m V k Q 2 9 s d W 1 u c z E u e 0 d y b 2 V w Z W 4 s I H R l Y W 1 z L C B l b n N l b W J s Z X M g Z W 4 g Z H V v X H U w M D I 3 c y w y N 3 0 m c X V v d D s s J n F 1 b 3 Q 7 U 2 V j d G l v b j E v T E o v Q X V 0 b 1 J l b W 9 2 Z W R D b 2 x 1 b W 5 z M S 5 7 U 2 V u a W 9 y Z W 4 s M j h 9 J n F 1 b 3 Q 7 L C Z x d W 9 0 O 1 N l Y 3 R p b 2 4 x L 0 x K L 0 F 1 d G 9 S Z W 1 v d m V k Q 2 9 s d W 1 u c z E u e 0 p v b m c g d m 9 s d 2 F z c 2 V u Z S w y O X 0 m c X V v d D s s J n F 1 b 3 Q 7 U 2 V j d G l v b j E v T E o v Q X V 0 b 1 J l b W 9 2 Z W R D b 2 x 1 b W 5 z M S 5 7 S n V u a W 9 y Z W 4 s M z B 9 J n F 1 b 3 Q 7 L C Z x d W 9 0 O 1 N l Y 3 R p b 2 4 x L 0 x K L 0 F 1 d G 9 S Z W 1 v d m V k Q 2 9 s d W 1 u c z E u e 0 F z c G l y Y W 5 0 Z W 4 s M z F 9 J n F 1 b 3 Q 7 L C Z x d W 9 0 O 1 N l Y 3 R p b 2 4 x L 0 x K L 0 F 1 d G 9 S Z W 1 v d m V k Q 2 9 s d W 1 u c z E u e 0 9 w Z 2 V n Z X Z l b i B z Z W 5 p b 3 J l b i w z M n 0 m c X V v d D s s J n F 1 b 3 Q 7 U 2 V j d G l v b j E v T E o v Q X V 0 b 1 J l b W 9 2 Z W R D b 2 x 1 b W 5 z M S 5 7 T 3 B n Z W d l d m V u I G p v b m c g d m 9 s d 2 F z c 2 V u Z S w z M 3 0 m c X V v d D s s J n F 1 b 3 Q 7 U 2 V j d G l v b j E v T E o v Q X V 0 b 1 J l b W 9 2 Z W R D b 2 x 1 b W 5 z M S 5 7 T 3 B n Z W d l d m V u I G p 1 b m l v c m V u L D M 0 f S Z x d W 9 0 O y w m c X V v d D t T Z W N 0 a W 9 u M S 9 M S i 9 B d X R v U m V t b 3 Z l Z E N v b H V t b n M x L n t P c G d l Z 2 V 2 Z W 4 g Y X N w a X J h b n R l b i w z N X 0 m c X V v d D s s J n F 1 b 3 Q 7 U 2 V j d G l v b j E v T E o v Q X V 0 b 1 J l b W 9 2 Z W R D b 2 x 1 b W 5 z M S 5 7 T W F y a 2 V 0 Z W 5 0 c 3 R l c n M s M z Z 9 J n F 1 b 3 Q 7 L C Z x d W 9 0 O 1 N l Y 3 R p b 2 4 x L 0 x K L 0 F 1 d G 9 S Z W 1 v d m V k Q 2 9 s d W 1 u c z E u e 0 x 1 Y 2 h 0 Z 2 V 3 Z W V y L D M 3 f S Z x d W 9 0 O y w m c X V v d D t T Z W N 0 a W 9 u M S 9 M S i 9 B d X R v U m V t b 3 Z l Z E N v b H V t b n M x L n t B Y W 5 0 Y W w g b H V j a H R n Z X d l Z X J z Y 2 h 1 d H R l c n M s M z h 9 J n F 1 b 3 Q 7 L C Z x d W 9 0 O 1 N l Y 3 R p b 2 4 x L 0 x K L 0 F 1 d G 9 S Z W 1 v d m V k Q 2 9 s d W 1 u c z E u e 0 x 1 Y 2 h 0 c G l z d G 9 v b C w z O X 0 m c X V v d D s s J n F 1 b 3 Q 7 U 2 V j d G l v b j E v T E o v Q X V 0 b 1 J l b W 9 2 Z W R D b 2 x 1 b W 5 z M S 5 7 Q W F u d G F s I G x 1 Y 2 h 0 c G l z d G 9 v b H N j a H V 0 d G V y c y w 0 M H 0 m c X V v d D s s J n F 1 b 3 Q 7 U 2 V j d G l v b j E v T E o v Q X V 0 b 1 J l b W 9 2 Z W R D b 2 x 1 b W 5 z M S 5 7 S G F u Z G J v b 2 c s N D F 9 J n F 1 b 3 Q 7 L C Z x d W 9 0 O 1 N l Y 3 R p b 2 4 x L 0 x K L 0 F 1 d G 9 S Z W 1 v d m V k Q 2 9 s d W 1 u c z E u e 0 F h b n R h b C B o Y W 5 k Y m 9 v Z 3 N j a H V 0 d G V y c y w 0 M n 0 m c X V v d D s s J n F 1 b 3 Q 7 U 2 V j d G l v b j E v T E o v Q X V 0 b 1 J l b W 9 2 Z W R D b 2 x 1 b W 5 z M S 5 7 S 3 J 1 a X N i b 2 9 n L D Q z f S Z x d W 9 0 O y w m c X V v d D t T Z W N 0 a W 9 u M S 9 M S i 9 B d X R v U m V t b 3 Z l Z E N v b H V t b n M x L n t B Y W 5 0 Y W w g a 3 J 1 a X N i b 2 9 n c 2 N o d X R 0 Z X J z L D Q 0 f S Z x d W 9 0 O y w m c X V v d D t T Z W N 0 a W 9 u M S 9 M S i 9 B d X R v U m V t b 3 Z l Z E N v b H V t b n M x L n t M d W N o d G d l d 2 V l c i B q Z X V n Z C B u a W V 0 I G 9 1 Z G V y I G R h b i A x N y B q Y W F y L i w 0 N X 0 m c X V v d D s s J n F 1 b 3 Q 7 U 2 V j d G l v b j E v T E o v Q X V 0 b 1 J l b W 9 2 Z W R D b 2 x 1 b W 5 z M S 5 7 Q W F u d G F s I G t v c n B z Z W 4 s N D Z 9 J n F 1 b 3 Q 7 L C Z x d W 9 0 O 1 N l Y 3 R p b 2 4 x L 0 x K L 0 F 1 d G 9 S Z W 1 v d m V k Q 2 9 s d W 1 u c z E u e 0 9 w Z 2 V n Z X Z l b i B q Z X V n Z G t v c n B z Z W 4 g T E c s N D d 9 J n F 1 b 3 Q 7 L C Z x d W 9 0 O 1 N l Y 3 R p b 2 4 x L 0 x K L 0 F 1 d G 9 S Z W 1 v d m V k Q 2 9 s d W 1 u c z E u e 1 R v d G F h b C B h Y W 5 0 Y W w g Z G V l b G 5 l b W V y c y w 0 O H 0 m c X V v d D s s J n F 1 b 3 Q 7 U 2 V j d G l v b j E v T E o v Q X V 0 b 1 J l b W 9 2 Z W R D b 2 x 1 b W 5 z M S 5 7 V 2 F h c n Z h b i B h Y W 5 0 Y W w g a m V 1 Z 2 Q g K H Q v b S A x N S B q Y W F y K S w 0 O X 0 m c X V v d D s s J n F 1 b 3 Q 7 U 2 V j d G l v b j E v T E o v Q X V 0 b 1 J l b W 9 2 Z W R D b 2 x 1 b W 5 z M S 5 7 S 2 F u b 2 4 g Z X R j L i w 1 M H 0 m c X V v d D s s J n F 1 b 3 Q 7 U 2 V j d G l v b j E v T E o v Q X V 0 b 1 J l b W 9 2 Z W R D b 2 x 1 b W 5 z M S 5 7 U G F h c m R l b i B l b i 9 v Z i B r b 2 V 0 c 2 V u L D U x f S Z x d W 9 0 O y w m c X V v d D t T Z W N 0 a W 9 u M S 9 M S i 9 B d X R v U m V t b 3 Z l Z E N v b H V t b n M x L n t U b 2 V s a W N o d G l u Z y 9 v c G 1 l c m t p b m d l b i w 1 M n 0 m c X V v d D s s J n F 1 b 3 Q 7 U 2 V j d G l v b j E v T E o v Q X V 0 b 1 J l b W 9 2 Z W R D b 2 x 1 b W 5 z M S 5 7 S W 5 6 Z W 5 k a W 5 n L U l E L D U z f S Z x d W 9 0 O y w m c X V v d D t T Z W N 0 a W 9 u M S 9 M S i 9 B d X R v U m V t b 3 Z l Z E N v b H V t b n M x L n t J b n p l b m R k Y X R 1 b S w 1 N H 0 m c X V v d D s s J n F 1 b 3 Q 7 U 2 V j d G l v b j E v T E o v Q X V 0 b 1 J l b W 9 2 Z W R D b 2 x 1 b W 5 z M S 5 7 R G F 0 Z S B V c G R h d G V k L D U 1 f S Z x d W 9 0 O y w m c X V v d D t T Z W N 0 a W 9 u M S 9 M S i 9 B d X R v U m V t b 3 Z l Z E N v b H V t b n M x L n t O Y W F t I H Z h b i B o Z X Q g a G 9 v Z m R r b 3 J w c y w 1 N n 0 m c X V v d D s s J n F 1 b 3 Q 7 U 2 V j d G l v b j E v T E o v Q X V 0 b 1 J l b W 9 2 Z W R D b 2 x 1 b W 5 z M S 5 7 W m F s I G 9 w I H R y Z W R l b i B h b H M g K G h v b 2 Z k a 2 9 y c H M p L D U 3 f S Z x d W 9 0 O y w m c X V v d D t T Z W N 0 a W 9 u M S 9 M S i 9 B d X R v U m V t b 3 Z l Z E N v b H V t b n M x L n t W b 3 J t I H Z h b i B 0 d 2 V l I G 1 1 e m l l a 3 d l c m t l b i A o a G 9 v Z m R r b 3 J w c y k s N T h 9 J n F 1 b 3 Q 7 L C Z x d W 9 0 O 1 N l Y 3 R p b 2 4 x L 0 x K L 0 F 1 d G 9 S Z W 1 v d m V k Q 2 9 s d W 1 u c z E u e 1 p h b C B 1 a X R r b 2 1 l b i B p b i B k Z T o g K G h v b 2 Z k a 2 9 y c H M p L D U 5 f S Z x d W 9 0 O y w m c X V v d D t T Z W N 0 a W 9 u M S 9 M S i 9 B d X R v U m V t b 3 Z l Z E N v b H V t b n M x L n t N d X p p Z W t 3 Z X J r M S A o a G 9 v Z m R r b 3 J w c y k s N j B 9 J n F 1 b 3 Q 7 L C Z x d W 9 0 O 1 N l Y 3 R p b 2 4 x L 0 x K L 0 F 1 d G 9 S Z W 1 v d m V k Q 2 9 s d W 1 u c z E u e 0 1 1 e m l l a 3 d l c m s y I C h o b 2 9 m Z G t v c n B z K S w 2 M X 0 m c X V v d D s s J n F 1 b 3 Q 7 U 2 V j d G l v b j E v T E o v Q X V 0 b 1 J l b W 9 2 Z W R D b 2 x 1 b W 5 z M S 5 7 S 2 9 y c H M g Y m V z d G F h d C B 1 a X Q g L i 4 u I G R l Z W x u Z W 1 l c n M g K G h v b 2 Z k a 2 9 y c H M p L D Y y f S Z x d W 9 0 O y w m c X V v d D t T Z W N 0 a W 9 u M S 9 M S i 9 B d X R v U m V t b 3 Z l Z E N v b H V t b n M x L n t O Y W F t I H Z h b i B o Z X Q g M m U g a 2 9 y c H M s N j N 9 J n F 1 b 3 Q 7 L C Z x d W 9 0 O 1 N l Y 3 R p b 2 4 x L 0 x K L 0 F 1 d G 9 S Z W 1 v d m V k Q 2 9 s d W 1 u c z E u e 1 p h b C B v c C B 0 c m V k Z W 4 g Y W x z I C g y Z S B r b 3 J w c y k s N j R 9 J n F 1 b 3 Q 7 L C Z x d W 9 0 O 1 N l Y 3 R p b 2 4 x L 0 x K L 0 F 1 d G 9 S Z W 1 v d m V k Q 2 9 s d W 1 u c z E u e 1 Z v c m 0 g d m F u I H R 3 Z W U g b X V 6 a W V r d 2 V y a 2 V u I C g y Z S B r b 3 J w c y k s N j V 9 J n F 1 b 3 Q 7 L C Z x d W 9 0 O 1 N l Y 3 R p b 2 4 x L 0 x K L 0 F 1 d G 9 S Z W 1 v d m V k Q 2 9 s d W 1 u c z E u e 1 p h b C B 1 a X R r b 2 1 l b i B p b i B k Z T o g K D J l I G t v c n B z K S w 2 N n 0 m c X V v d D s s J n F 1 b 3 Q 7 U 2 V j d G l v b j E v T E o v Q X V 0 b 1 J l b W 9 2 Z W R D b 2 x 1 b W 5 z M S 5 7 T X V 6 a W V r d 2 V y a z E g K D J l I G t v c n B z K S w 2 N 3 0 m c X V v d D s s J n F 1 b 3 Q 7 U 2 V j d G l v b j E v T E o v Q X V 0 b 1 J l b W 9 2 Z W R D b 2 x 1 b W 5 z M S 5 7 T X V 6 a W V r d 2 V y a z I g K D J l I G t v c n B z K S w 2 O H 0 m c X V v d D s s J n F 1 b 3 Q 7 U 2 V j d G l v b j E v T E o v Q X V 0 b 1 J l b W 9 2 Z W R D b 2 x 1 b W 5 z M S 5 7 S 2 9 y c H M g Y m V z d G F h d C B 1 a X Q g L i 4 u I G R l Z W x u Z W 1 l c n M g K D J l I G t v c n B z K S w 2 O X 0 m c X V v d D s s J n F 1 b 3 Q 7 U 2 V j d G l v b j E v T E o v Q X V 0 b 1 J l b W 9 2 Z W R D b 2 x 1 b W 5 z M S 5 7 T W V j a G F u a X N j a G U g b X V 6 a W V r L D c w f S Z x d W 9 0 O y w m c X V v d D t T Z W N 0 a W 9 u M S 9 M S i 9 B d X R v U m V t b 3 Z l Z E N v b H V t b n M x L n t P b m R l c m R l b G V u L D c x f S Z x d W 9 0 O y w m c X V v d D t T Z W N 0 a W 9 u M S 9 M S i 9 B d X R v U m V t b 3 Z l Z E N v b H V t b n M x L n t T Z W N 0 a W V z L D c y f S Z x d W 9 0 O y w m c X V v d D t T Z W N 0 a W 9 u M S 9 M S i 9 B d X R v U m V t b 3 Z l Z E N v b H V t b n M x L n t M Z W V m d G l q Z H N j Y X R l Z 2 9 y a W U s N z N 9 J n F 1 b 3 Q 7 L C Z x d W 9 0 O 1 N l Y 3 R p b 2 4 x L 0 x K L 0 F 1 d G 9 S Z W 1 v d m V k Q 2 9 s d W 1 u c z E u e 0 F h b n R h b C B v c G d l Z 2 V 2 Z W 4 g b W F q b 3 J l d H R l c y w 3 N H 0 m c X V v d D t d L C Z x d W 9 0 O 1 J l b G F 0 a W 9 u c 2 h p c E l u Z m 8 m c X V v d D s 6 W 1 1 9 I i A v P j w v U 3 R h Y m x l R W 5 0 c m l l c z 4 8 L 0 l 0 Z W 0 + P E l 0 Z W 0 + P E l 0 Z W 1 M b 2 N h d G l v b j 4 8 S X R l b V R 5 c G U + R m 9 y b X V s Y T w v S X R l b V R 5 c G U + P E l 0 Z W 1 Q Y X R o P l N l Y 3 R p b 2 4 x L 0 Z T R C 9 C c m 9 u P C 9 J d G V t U G F 0 a D 4 8 L 0 l 0 Z W 1 M b 2 N h d G l v b j 4 8 U 3 R h Y m x l R W 5 0 c m l l c y A v P j w v S X R l b T 4 8 S X R l b T 4 8 S X R l b U x v Y 2 F 0 a W 9 u P j x J d G V t V H l w Z T 5 G b 3 J t d W x h P C 9 J d G V t V H l w Z T 4 8 S X R l b V B h d G g + U 2 V j d G l v b j E v R l N E L 1 R 5 c G U l M j B n Z X d p a n p p Z 2 Q 8 L 0 l 0 Z W 1 Q Y X R o P j w v S X R l b U x v Y 2 F 0 a W 9 u P j x T d G F i b G V F b n R y a W V z I C 8 + P C 9 J d G V t P j x J d G V t P j x J d G V t T G 9 j Y X R p b 2 4 + P E l 0 Z W 1 U e X B l P k Z v c m 1 1 b G E 8 L 0 l 0 Z W 1 U e X B l P j x J d G V t U G F 0 a D 5 T Z W N 0 a W 9 u M S 9 G U 0 Q v S G V h Z G V y c y U y M G 1 l d C U y M H Z l c m h v b 2 d k J T I w b m l 2 Z W F 1 P C 9 J d G V t U G F 0 a D 4 8 L 0 l 0 Z W 1 M b 2 N h d G l v b j 4 8 U 3 R h Y m x l R W 5 0 c m l l c y A v P j w v S X R l b T 4 8 S X R l b T 4 8 S X R l b U x v Y 2 F 0 a W 9 u P j x J d G V t V H l w Z T 5 G b 3 J t d W x h P C 9 J d G V t V H l w Z T 4 8 S X R l b V B h d G g + U 2 V j d G l v b j E v R l N E L 0 t v b G 9 t b W V u J T I w d m V y d 2 l q Z G V y Z D w v S X R l b V B h d G g + P C 9 J d G V t T G 9 j Y X R p b 2 4 + P F N 0 Y W J s Z U V u d H J p Z X M g L z 4 8 L 0 l 0 Z W 0 + P E l 0 Z W 0 + P E l 0 Z W 1 M b 2 N h d G l v b j 4 8 S X R l b V R 5 c G U + R m 9 y b X V s Y T w v S X R l b V R 5 c G U + P E l 0 Z W 1 Q Y X R o P l N l Y 3 R p b 2 4 x L 0 Z T R C 9 W b 2 x n b 3 J k Z S U y M H Z h b i U y M G t v b G 9 t b W V u J T I w Z 2 V 3 a W p 6 a W d k P C 9 J d G V t U G F 0 a D 4 8 L 0 l 0 Z W 1 M b 2 N h d G l v b j 4 8 U 3 R h Y m x l R W 5 0 c m l l c y A v P j w v S X R l b T 4 8 S X R l b T 4 8 S X R l b U x v Y 2 F 0 a W 9 u P j x J d G V t V H l w Z T 5 G b 3 J t d W x h P C 9 J d G V t V H l w Z T 4 8 S X R l b V B h d G g + U 2 V j d G l v b j E v R l N E L 0 5 h b W V u J T I w d m F u J T I w a 2 9 s b 2 1 t Z W 4 l M j B n Z X d p a n p p Z 2 Q 8 L 0 l 0 Z W 1 Q Y X R o P j w v S X R l b U x v Y 2 F 0 a W 9 u P j x T d G F i b G V F b n R y a W V z I C 8 + P C 9 J d G V t P j x J d G V t P j x J d G V t T G 9 j Y X R p b 2 4 + P E l 0 Z W 1 U e X B l P k Z v c m 1 1 b G E 8 L 0 l 0 Z W 1 U e X B l P j x J d G V t U G F 0 a D 5 T Z W N 0 a W 9 u M S 9 G U 0 Q v V 2 F h c m R l J T I w d m V y d m F u Z 2 V u P C 9 J d G V t U G F 0 a D 4 8 L 0 l 0 Z W 1 M b 2 N h d G l v b j 4 8 U 3 R h Y m x l R W 5 0 c m l l c y A v P j w v S X R l b T 4 8 S X R l b T 4 8 S X R l b U x v Y 2 F 0 a W 9 u P j x J d G V t V H l w Z T 5 G b 3 J t d W x h P C 9 J d G V t V H l w Z T 4 8 S X R l b V B h d G g + U 2 V j d G l v b j E v R l N E L 1 d h Y X J k Z S U y M H Z l c n Z h b m d l b j E 8 L 0 l 0 Z W 1 Q Y X R o P j w v S X R l b U x v Y 2 F 0 a W 9 u P j x T d G F i b G V F b n R y a W V z I C 8 + P C 9 J d G V t P j x J d G V t P j x J d G V t T G 9 j Y X R p b 2 4 + P E l 0 Z W 1 U e X B l P k Z v c m 1 1 b G E 8 L 0 l 0 Z W 1 U e X B l P j x J d G V t U G F 0 a D 5 T Z W N 0 a W 9 u M S 9 G U 0 Q v T m F t Z W 4 l M j B 2 Y W 4 l M j B r b 2 x v b W 1 l b i U y M G d l d 2 l q e m l n Z D E 8 L 0 l 0 Z W 1 Q Y X R o P j w v S X R l b U x v Y 2 F 0 a W 9 u P j x T d G F i b G V F b n R y a W V z I C 8 + P C 9 J d G V t P j x J d G V t P j x J d G V t T G 9 j Y X R p b 2 4 + P E l 0 Z W 1 U e X B l P k Z v c m 1 1 b G E 8 L 0 l 0 Z W 1 U e X B l P j x J d G V t U G F 0 a D 5 T Z W N 0 a W 9 u M S 9 G U 0 Q v V 2 F h c m R l J T I w d m V y d m F u Z 2 V u M j w v S X R l b V B h d G g + P C 9 J d G V t T G 9 j Y X R p b 2 4 + P F N 0 Y W J s Z U V u d H J p Z X M g L z 4 8 L 0 l 0 Z W 0 + P E l 0 Z W 0 + P E l 0 Z W 1 M b 2 N h d G l v b j 4 8 S X R l b V R 5 c G U + R m 9 y b X V s Y T w v S X R l b V R 5 c G U + P E l 0 Z W 1 Q Y X R o P l N l Y 3 R p b 2 4 x L 0 Z T R C 9 X Y W F y Z G U l M j B 2 Z X J 2 Y W 5 n Z W 4 z P C 9 J d G V t U G F 0 a D 4 8 L 0 l 0 Z W 1 M b 2 N h d G l v b j 4 8 U 3 R h Y m x l R W 5 0 c m l l c y A v P j w v S X R l b T 4 8 S X R l b T 4 8 S X R l b U x v Y 2 F 0 a W 9 u P j x J d G V t V H l w Z T 5 G b 3 J t d W x h P C 9 J d G V t V H l w Z T 4 8 S X R l b V B h d G g + U 2 V j d G l v b j E v R l N E L 0 5 h b W V u J T I w d m F u J T I w a 2 9 s b 2 1 t Z W 4 l M j B n Z X d p a n p p Z 2 Q y P C 9 J d G V t U G F 0 a D 4 8 L 0 l 0 Z W 1 M b 2 N h d G l v b j 4 8 U 3 R h Y m x l R W 5 0 c m l l c y A v P j w v S X R l b T 4 8 S X R l b T 4 8 S X R l b U x v Y 2 F 0 a W 9 u P j x J d G V t V H l w Z T 5 G b 3 J t d W x h P C 9 J d G V t V H l w Z T 4 8 S X R l b V B h d G g + U 2 V j d G l v b j E v R l N E L 1 d h Y X J k Z S U y M H Z l c n Z h b m d l b j Q 8 L 0 l 0 Z W 1 Q Y X R o P j w v S X R l b U x v Y 2 F 0 a W 9 u P j x T d G F i b G V F b n R y a W V z I C 8 + P C 9 J d G V t P j x J d G V t P j x J d G V t T G 9 j Y X R p b 2 4 + P E l 0 Z W 1 U e X B l P k Z v c m 1 1 b G E 8 L 0 l 0 Z W 1 U e X B l P j x J d G V t U G F 0 a D 5 T Z W N 0 a W 9 u M S 9 G U 0 Q v V 2 F h c m R l J T I w d m V y d m F u Z 2 V u N T w v S X R l b V B h d G g + P C 9 J d G V t T G 9 j Y X R p b 2 4 + P F N 0 Y W J s Z U V u d H J p Z X M g L z 4 8 L 0 l 0 Z W 0 + P E l 0 Z W 0 + P E l 0 Z W 1 M b 2 N h d G l v b j 4 8 S X R l b V R 5 c G U + R m 9 y b X V s Y T w v S X R l b V R 5 c G U + P E l 0 Z W 1 Q Y X R o P l N l Y 3 R p b 2 4 x L 0 Z T R C 9 L b 2 x v b S U y M H N w b G l 0 c 2 V u J T I w b 3 A l M j B z Y 2 h l a W R p b m d z d G V r Z W 4 8 L 0 l 0 Z W 1 Q Y X R o P j w v S X R l b U x v Y 2 F 0 a W 9 u P j x T d G F i b G V F b n R y a W V z I C 8 + P C 9 J d G V t P j x J d G V t P j x J d G V t T G 9 j Y X R p b 2 4 + P E l 0 Z W 1 U e X B l P k Z v c m 1 1 b G E 8 L 0 l 0 Z W 1 U e X B l P j x J d G V t U G F 0 a D 5 T Z W N 0 a W 9 u M S 9 G U 0 Q v T m F t Z W 4 l M j B 2 Y W 4 l M j B r b 2 x v b W 1 l b i U y M G d l d 2 l q e m l n Z D M 8 L 0 l 0 Z W 1 Q Y X R o P j w v S X R l b U x v Y 2 F 0 a W 9 u P j x T d G F i b G V F b n R y a W V z I C 8 + P C 9 J d G V t P j x J d G V t P j x J d G V t T G 9 j Y X R p b 2 4 + P E l 0 Z W 1 U e X B l P k Z v c m 1 1 b G E 8 L 0 l 0 Z W 1 U e X B l P j x J d G V t U G F 0 a D 5 T Z W N 0 a W 9 u M S 9 G U 0 Q v V 2 F h c m R l J T I w d m V y d m F u Z 2 V u N j w v S X R l b V B h d G g + P C 9 J d G V t T G 9 j Y X R p b 2 4 + P F N 0 Y W J s Z U V u d H J p Z X M g L z 4 8 L 0 l 0 Z W 0 + P E l 0 Z W 0 + P E l 0 Z W 1 M b 2 N h d G l v b j 4 8 S X R l b V R 5 c G U + R m 9 y b X V s Y T w v S X R l b V R 5 c G U + P E l 0 Z W 1 Q Y X R o P l N l Y 3 R p b 2 4 x L 0 Z T R C 9 O Y W 1 l b i U y M H Z h b i U y M G t v b G 9 t b W V u J T I w Z 2 V 3 a W p 6 a W d k N D w v S X R l b V B h d G g + P C 9 J d G V t T G 9 j Y X R p b 2 4 + P F N 0 Y W J s Z U V u d H J p Z X M g L z 4 8 L 0 l 0 Z W 0 + P E l 0 Z W 0 + P E l 0 Z W 1 M b 2 N h d G l v b j 4 8 S X R l b V R 5 c G U + R m 9 y b X V s Y T w v S X R l b V R 5 c G U + P E l 0 Z W 1 Q Y X R o P l N l Y 3 R p b 2 4 x L 0 Z T R C 9 X Y W F y Z G U l M j B 2 Z X J 2 Y W 5 n Z W 4 3 P C 9 J d G V t U G F 0 a D 4 8 L 0 l 0 Z W 1 M b 2 N h d G l v b j 4 8 U 3 R h Y m x l R W 5 0 c m l l c y A v P j w v S X R l b T 4 8 S X R l b T 4 8 S X R l b U x v Y 2 F 0 a W 9 u P j x J d G V t V H l w Z T 5 G b 3 J t d W x h P C 9 J d G V t V H l w Z T 4 8 S X R l b V B h d G g + U 2 V j d G l v b j E v R l N E L 1 d h Y X J k Z S U y M H Z l c n Z h b m d l b j g 8 L 0 l 0 Z W 1 Q Y X R o P j w v S X R l b U x v Y 2 F 0 a W 9 u P j x T d G F i b G V F b n R y a W V z I C 8 + P C 9 J d G V t P j x J d G V t P j x J d G V t T G 9 j Y X R p b 2 4 + P E l 0 Z W 1 U e X B l P k Z v c m 1 1 b G E 8 L 0 l 0 Z W 1 U e X B l P j x J d G V t U G F 0 a D 5 T Z W N 0 a W 9 u M S 9 G U 0 Q v V 2 F h c m R l J T I w d m V y d m F u Z 2 V u O T w v S X R l b V B h d G g + P C 9 J d G V t T G 9 j Y X R p b 2 4 + P F N 0 Y W J s Z U V u d H J p Z X M g L z 4 8 L 0 l 0 Z W 0 + P E l 0 Z W 0 + P E l 0 Z W 1 M b 2 N h d G l v b j 4 8 S X R l b V R 5 c G U + R m 9 y b X V s Y T w v S X R l b V R 5 c G U + P E l 0 Z W 1 Q Y X R o P l N l Y 3 R p b 2 4 x L 0 Z T R C 9 O Y W 1 l b i U y M H Z h b i U y M G t v b G 9 t b W V u J T I w Z 2 V 3 a W p 6 a W d k N T w v S X R l b V B h d G g + P C 9 J d G V t T G 9 j Y X R p b 2 4 + P F N 0 Y W J s Z U V u d H J p Z X M g L z 4 8 L 0 l 0 Z W 0 + P E l 0 Z W 0 + P E l 0 Z W 1 M b 2 N h d G l v b j 4 8 S X R l b V R 5 c G U + R m 9 y b X V s Y T w v S X R l b V R 5 c G U + P E l 0 Z W 1 Q Y X R o P l N l Y 3 R p b 2 4 x L 0 Z T R C 9 X Y W F y Z G U l M j B 2 Z X J 2 Y W 5 n Z W 4 y M T w v S X R l b V B h d G g + P C 9 J d G V t T G 9 j Y X R p b 2 4 + P F N 0 Y W J s Z U V u d H J p Z X M g L z 4 8 L 0 l 0 Z W 0 + P E l 0 Z W 0 + P E l 0 Z W 1 M b 2 N h d G l v b j 4 8 S X R l b V R 5 c G U + R m 9 y b X V s Y T w v S X R l b V R 5 c G U + P E l 0 Z W 1 Q Y X R o P l N l Y 3 R p b 2 4 x L 0 Z T R C 9 X Y W F y Z G U l M j B 2 Z X J 2 Y W 5 n Z W 4 y M j w v S X R l b V B h d G g + P C 9 J d G V t T G 9 j Y X R p b 2 4 + P F N 0 Y W J s Z U V u d H J p Z X M g L z 4 8 L 0 l 0 Z W 0 + P E l 0 Z W 0 + P E l 0 Z W 1 M b 2 N h d G l v b j 4 8 S X R l b V R 5 c G U + R m 9 y b X V s Y T w v S X R l b V R 5 c G U + P E l 0 Z W 1 Q Y X R o P l N l Y 3 R p b 2 4 x L 0 Z T R C 9 X Y W F y Z G U l M j B 2 Z X J 2 Y W 5 n Z W 4 y M z w v S X R l b V B h d G g + P C 9 J d G V t T G 9 j Y X R p b 2 4 + P F N 0 Y W J s Z U V u d H J p Z X M g L z 4 8 L 0 l 0 Z W 0 + P E l 0 Z W 0 + P E l 0 Z W 1 M b 2 N h d G l v b j 4 8 S X R l b V R 5 c G U + R m 9 y b X V s Y T w v S X R l b V R 5 c G U + P E l 0 Z W 1 Q Y X R o P l N l Y 3 R p b 2 4 x L 0 Z T R C 9 X Y W F y Z G U l M j B 2 Z X J 2 Y W 5 n Z W 4 y N D w v S X R l b V B h d G g + P C 9 J d G V t T G 9 j Y X R p b 2 4 + P F N 0 Y W J s Z U V u d H J p Z X M g L z 4 8 L 0 l 0 Z W 0 + P E l 0 Z W 0 + P E l 0 Z W 1 M b 2 N h d G l v b j 4 8 S X R l b V R 5 c G U + R m 9 y b X V s Y T w v S X R l b V R 5 c G U + P E l 0 Z W 1 Q Y X R o P l N l Y 3 R p b 2 4 x L 0 Z T R C 9 X Y W F y Z G U l M j B 2 Z X J 2 Y W 5 n Z W 4 y N T w v S X R l b V B h d G g + P C 9 J d G V t T G 9 j Y X R p b 2 4 + P F N 0 Y W J s Z U V u d H J p Z X M g L z 4 8 L 0 l 0 Z W 0 + P E l 0 Z W 0 + P E l 0 Z W 1 M b 2 N h d G l v b j 4 8 S X R l b V R 5 c G U + R m 9 y b X V s Y T w v S X R l b V R 5 c G U + P E l 0 Z W 1 Q Y X R o P l N l Y 3 R p b 2 4 x L 0 Z T R C 9 O Y W 1 l b i U y M H Z h b i U y M G t v b G 9 t b W V u J T I w Z 2 V 3 a W p 6 a W d k M T E 8 L 0 l 0 Z W 1 Q Y X R o P j w v S X R l b U x v Y 2 F 0 a W 9 u P j x T d G F i b G V F b n R y a W V z I C 8 + P C 9 J d G V t P j x J d G V t P j x J d G V t T G 9 j Y X R p b 2 4 + P E l 0 Z W 1 U e X B l P k Z v c m 1 1 b G E 8 L 0 l 0 Z W 1 U e X B l P j x J d G V t U G F 0 a D 5 T Z W N 0 a W 9 u M S 9 G U 0 Q v V 2 F h c m R l J T I w d m V y d m F u Z 2 V u M j Y 8 L 0 l 0 Z W 1 Q Y X R o P j w v S X R l b U x v Y 2 F 0 a W 9 u P j x T d G F i b G V F b n R y a W V z I C 8 + P C 9 J d G V t P j x J d G V t P j x J d G V t T G 9 j Y X R p b 2 4 + P E l 0 Z W 1 U e X B l P k Z v c m 1 1 b G E 8 L 0 l 0 Z W 1 U e X B l P j x J d G V t U G F 0 a D 5 T Z W N 0 a W 9 u M S 9 G U 0 Q v V 2 F h c m R l J T I w d m V y d m F u Z 2 V u M j c 8 L 0 l 0 Z W 1 Q Y X R o P j w v S X R l b U x v Y 2 F 0 a W 9 u P j x T d G F i b G V F b n R y a W V z I C 8 + P C 9 J d G V t P j x J d G V t P j x J d G V t T G 9 j Y X R p b 2 4 + P E l 0 Z W 1 U e X B l P k Z v c m 1 1 b G E 8 L 0 l 0 Z W 1 U e X B l P j x J d G V t U G F 0 a D 5 T Z W N 0 a W 9 u M S 9 G U 0 Q v T m F t Z W 4 l M j B 2 Y W 4 l M j B r b 2 x v b W 1 l b i U y M G d l d 2 l q e m l n Z D E y P C 9 J d G V t U G F 0 a D 4 8 L 0 l 0 Z W 1 M b 2 N h d G l v b j 4 8 U 3 R h Y m x l R W 5 0 c m l l c y A v P j w v S X R l b T 4 8 S X R l b T 4 8 S X R l b U x v Y 2 F 0 a W 9 u P j x J d G V t V H l w Z T 5 G b 3 J t d W x h P C 9 J d G V t V H l w Z T 4 8 S X R l b V B h d G g + U 2 V j d G l v b j E v R l N E L 1 d h Y X J k Z S U y M H Z l c n Z h b m d l b j I 4 P C 9 J d G V t U G F 0 a D 4 8 L 0 l 0 Z W 1 M b 2 N h d G l v b j 4 8 U 3 R h Y m x l R W 5 0 c m l l c y A v P j w v S X R l b T 4 8 S X R l b T 4 8 S X R l b U x v Y 2 F 0 a W 9 u P j x J d G V t V H l w Z T 5 G b 3 J t d W x h P C 9 J d G V t V H l w Z T 4 8 S X R l b V B h d G g + U 2 V j d G l v b j E v R l N E L 1 d h Y X J k Z S U y M H Z l c n Z h b m d l b j I 5 P C 9 J d G V t U G F 0 a D 4 8 L 0 l 0 Z W 1 M b 2 N h d G l v b j 4 8 U 3 R h Y m x l R W 5 0 c m l l c y A v P j w v S X R l b T 4 8 S X R l b T 4 8 S X R l b U x v Y 2 F 0 a W 9 u P j x J d G V t V H l w Z T 5 G b 3 J t d W x h P C 9 J d G V t V H l w Z T 4 8 S X R l b V B h d G g + U 2 V j d G l v b j E v R l N E L 0 5 h b W V u J T I w d m F u J T I w a 2 9 s b 2 1 t Z W 4 l M j B n Z X d p a n p p Z 2 Q x M z w v S X R l b V B h d G g + P C 9 J d G V t T G 9 j Y X R p b 2 4 + P F N 0 Y W J s Z U V u d H J p Z X M g L z 4 8 L 0 l 0 Z W 0 + P E l 0 Z W 0 + P E l 0 Z W 1 M b 2 N h d G l v b j 4 8 S X R l b V R 5 c G U + R m 9 y b X V s Y T w v S X R l b V R 5 c G U + P E l 0 Z W 1 Q Y X R o P l N l Y 3 R p b 2 4 x L 0 Z T R C 9 W b 2 x n b 3 J k Z S U y M H Z h b i U y M G t v b G 9 t b W V u J T I w Z 2 V 3 a W p 6 a W d k M T w v S X R l b V B h d G g + P C 9 J d G V t T G 9 j Y X R p b 2 4 + P F N 0 Y W J s Z U V u d H J p Z X M g L z 4 8 L 0 l 0 Z W 0 + P E l 0 Z W 0 + P E l 0 Z W 1 M b 2 N h d G l v b j 4 8 S X R l b V R 5 c G U + R m 9 y b X V s Y T w v S X R l b V R 5 c G U + P E l 0 Z W 1 Q Y X R o P l N l Y 3 R p b 2 4 x L 0 Z T R C 9 X Y W F y Z G U l M j B 2 Z X J 2 Y W 5 n Z W 4 z M D w v S X R l b V B h d G g + P C 9 J d G V t T G 9 j Y X R p b 2 4 + P F N 0 Y W J s Z U V u d H J p Z X M g L z 4 8 L 0 l 0 Z W 0 + P E l 0 Z W 0 + P E l 0 Z W 1 M b 2 N h d G l v b j 4 8 S X R l b V R 5 c G U + R m 9 y b X V s Y T w v S X R l b V R 5 c G U + P E l 0 Z W 1 Q Y X R o P l N l Y 3 R p b 2 4 x L 0 Z T R C 9 X Y W F y Z G U l M j B 2 Z X J 2 Y W 5 n Z W 4 z M T w v S X R l b V B h d G g + P C 9 J d G V t T G 9 j Y X R p b 2 4 + P F N 0 Y W J s Z U V u d H J p Z X M g L z 4 8 L 0 l 0 Z W 0 + P E l 0 Z W 0 + P E l 0 Z W 1 M b 2 N h d G l v b j 4 8 S X R l b V R 5 c G U + R m 9 y b X V s Y T w v S X R l b V R 5 c G U + P E l 0 Z W 1 Q Y X R o P l N l Y 3 R p b 2 4 x L 0 Z T R C 9 O Y W 1 l b i U y M H Z h b i U y M G t v b G 9 t b W V u J T I w Z 2 V 3 a W p 6 a W d k M T Q 8 L 0 l 0 Z W 1 Q Y X R o P j w v S X R l b U x v Y 2 F 0 a W 9 u P j x T d G F i b G V F b n R y a W V z I C 8 + P C 9 J d G V t P j x J d G V t P j x J d G V t T G 9 j Y X R p b 2 4 + P E l 0 Z W 1 U e X B l P k Z v c m 1 1 b G E 8 L 0 l 0 Z W 1 U e X B l P j x J d G V t U G F 0 a D 5 T Z W N 0 a W 9 u M S 9 G U 0 Q v V m 9 s Z 2 9 y Z G U l M j B 2 Y W 4 l M j B r b 2 x v b W 1 l b i U y M G d l d 2 l q e m l n Z D I 8 L 0 l 0 Z W 1 Q Y X R o P j w v S X R l b U x v Y 2 F 0 a W 9 u P j x T d G F i b G V F b n R y a W V z I C 8 + P C 9 J d G V t P j x J d G V t P j x J d G V t T G 9 j Y X R p b 2 4 + P E l 0 Z W 1 U e X B l P k Z v c m 1 1 b G E 8 L 0 l 0 Z W 1 U e X B l P j x J d G V t U G F 0 a D 5 T Z W N 0 a W 9 u M S 9 G U 0 Q v T m F t Z W 4 l M j B 2 Y W 4 l M j B r b 2 x v b W 1 l b i U y M G d l d 2 l q e m l n Z D E 1 P C 9 J d G V t U G F 0 a D 4 8 L 0 l 0 Z W 1 M b 2 N h d G l v b j 4 8 U 3 R h Y m x l R W 5 0 c m l l c y A v P j w v S X R l b T 4 8 S X R l b T 4 8 S X R l b U x v Y 2 F 0 a W 9 u P j x J d G V t V H l w Z T 5 G b 3 J t d W x h P C 9 J d G V t V H l w Z T 4 8 S X R l b V B h d G g + U 2 V j d G l v b j E v R l N E L 1 d h Y X J k Z S U y M H Z l c n Z h b m d l b j M y P C 9 J d G V t U G F 0 a D 4 8 L 0 l 0 Z W 1 M b 2 N h d G l v b j 4 8 U 3 R h Y m x l R W 5 0 c m l l c y A v P j w v S X R l b T 4 8 S X R l b T 4 8 S X R l b U x v Y 2 F 0 a W 9 u P j x J d G V t V H l w Z T 5 G b 3 J t d W x h P C 9 J d G V t V H l w Z T 4 8 S X R l b V B h d G g + U 2 V j d G l v b j E v R l N E L 1 d h Y X J k Z S U y M H Z l c n Z h b m d l b j M z P C 9 J d G V t U G F 0 a D 4 8 L 0 l 0 Z W 1 M b 2 N h d G l v b j 4 8 U 3 R h Y m x l R W 5 0 c m l l c y A v P j w v S X R l b T 4 8 S X R l b T 4 8 S X R l b U x v Y 2 F 0 a W 9 u P j x J d G V t V H l w Z T 5 G b 3 J t d W x h P C 9 J d G V t V H l w Z T 4 8 S X R l b V B h d G g + U 2 V j d G l v b j E v R l N E L 0 5 h b W V u J T I w d m F u J T I w a 2 9 s b 2 1 t Z W 4 l M j B n Z X d p a n p p Z 2 Q x N j w v S X R l b V B h d G g + P C 9 J d G V t T G 9 j Y X R p b 2 4 + P F N 0 Y W J s Z U V u d H J p Z X M g L z 4 8 L 0 l 0 Z W 0 + P E l 0 Z W 0 + P E l 0 Z W 1 M b 2 N h d G l v b j 4 8 S X R l b V R 5 c G U + R m 9 y b X V s Y T w v S X R l b V R 5 c G U + P E l 0 Z W 1 Q Y X R o P l N l Y 3 R p b 2 4 x L 0 Z T R C 9 X Y W F y Z G U l M j B 2 Z X J 2 Y W 5 n Z W 4 z N D w v S X R l b V B h d G g + P C 9 J d G V t T G 9 j Y X R p b 2 4 + P F N 0 Y W J s Z U V u d H J p Z X M g L z 4 8 L 0 l 0 Z W 0 + P E l 0 Z W 0 + P E l 0 Z W 1 M b 2 N h d G l v b j 4 8 S X R l b V R 5 c G U + R m 9 y b X V s Y T w v S X R l b V R 5 c G U + P E l 0 Z W 1 Q Y X R o P l N l Y 3 R p b 2 4 x L 0 Z T R C 9 X Y W F y Z G U l M j B 2 Z X J 2 Y W 5 n Z W 4 z N T w v S X R l b V B h d G g + P C 9 J d G V t T G 9 j Y X R p b 2 4 + P F N 0 Y W J s Z U V u d H J p Z X M g L z 4 8 L 0 l 0 Z W 0 + P E l 0 Z W 0 + P E l 0 Z W 1 M b 2 N h d G l v b j 4 8 S X R l b V R 5 c G U + R m 9 y b X V s Y T w v S X R l b V R 5 c G U + P E l 0 Z W 1 Q Y X R o P l N l Y 3 R p b 2 4 x L 0 Z T R C 9 O Y W 1 l b i U y M H Z h b i U y M G t v b G 9 t b W V u J T I w Z 2 V 3 a W p 6 a W d k M T c 8 L 0 l 0 Z W 1 Q Y X R o P j w v S X R l b U x v Y 2 F 0 a W 9 u P j x T d G F i b G V F b n R y a W V z I C 8 + P C 9 J d G V t P j x J d G V t P j x J d G V t T G 9 j Y X R p b 2 4 + P E l 0 Z W 1 U e X B l P k Z v c m 1 1 b G E 8 L 0 l 0 Z W 1 U e X B l P j x J d G V t U G F 0 a D 5 T Z W N 0 a W 9 u M S 9 G U 0 Q v V 2 F h c m R l J T I w d m V y d m F u Z 2 V u M z Y 8 L 0 l 0 Z W 1 Q Y X R o P j w v S X R l b U x v Y 2 F 0 a W 9 u P j x T d G F i b G V F b n R y a W V z I C 8 + P C 9 J d G V t P j x J d G V t P j x J d G V t T G 9 j Y X R p b 2 4 + P E l 0 Z W 1 U e X B l P k Z v c m 1 1 b G E 8 L 0 l 0 Z W 1 U e X B l P j x J d G V t U G F 0 a D 5 T Z W N 0 a W 9 u M S 9 G U 0 Q v V 2 F h c m R l J T I w d m V y d m F u Z 2 V u M z c 8 L 0 l 0 Z W 1 Q Y X R o P j w v S X R l b U x v Y 2 F 0 a W 9 u P j x T d G F i b G V F b n R y a W V z I C 8 + P C 9 J d G V t P j x J d G V t P j x J d G V t T G 9 j Y X R p b 2 4 + P E l 0 Z W 1 U e X B l P k Z v c m 1 1 b G E 8 L 0 l 0 Z W 1 U e X B l P j x J d G V t U G F 0 a D 5 T Z W N 0 a W 9 u M S 9 G U 0 Q v V 2 F h c m R l J T I w d m V y d m F u Z 2 V u M z g 8 L 0 l 0 Z W 1 Q Y X R o P j w v S X R l b U x v Y 2 F 0 a W 9 u P j x T d G F i b G V F b n R y a W V z I C 8 + P C 9 J d G V t P j x J d G V t P j x J d G V t T G 9 j Y X R p b 2 4 + P E l 0 Z W 1 U e X B l P k Z v c m 1 1 b G E 8 L 0 l 0 Z W 1 U e X B l P j x J d G V t U G F 0 a D 5 T Z W N 0 a W 9 u M S 9 G U 0 Q v S 2 9 s b 2 1 t Z W 4 l M j B z Y W 1 l b m d l d m 9 l Z 2 Q 8 L 0 l 0 Z W 1 Q Y X R o P j w v S X R l b U x v Y 2 F 0 a W 9 u P j x T d G F i b G V F b n R y a W V z I C 8 + P C 9 J d G V t P j x J d G V t P j x J d G V t T G 9 j Y X R p b 2 4 + P E l 0 Z W 1 U e X B l P k Z v c m 1 1 b G E 8 L 0 l 0 Z W 1 U e X B l P j x J d G V t U G F 0 a D 5 T Z W N 0 a W 9 u M S 9 G U 0 Q v S 2 9 s b 2 1 t Z W 4 l M j B z Y W 1 l b m d l d m 9 l Z 2 Q x P C 9 J d G V t U G F 0 a D 4 8 L 0 l 0 Z W 1 M b 2 N h d G l v b j 4 8 U 3 R h Y m x l R W 5 0 c m l l c y A v P j w v S X R l b T 4 8 S X R l b T 4 8 S X R l b U x v Y 2 F 0 a W 9 u P j x J d G V t V H l w Z T 5 G b 3 J t d W x h P C 9 J d G V t V H l w Z T 4 8 S X R l b V B h d G g + U 2 V j d G l v b j E v R l N E L 0 t v b G 9 t b W V u J T I w c 2 F t Z W 5 n Z X Z v Z W d k M j w v S X R l b V B h d G g + P C 9 J d G V t T G 9 j Y X R p b 2 4 + P F N 0 Y W J s Z U V u d H J p Z X M g L z 4 8 L 0 l 0 Z W 0 + P E l 0 Z W 0 + P E l 0 Z W 1 M b 2 N h d G l v b j 4 8 S X R l b V R 5 c G U + R m 9 y b X V s Y T w v S X R l b V R 5 c G U + P E l 0 Z W 1 Q Y X R o P l N l Y 3 R p b 2 4 x L 0 Z T R C 9 X Y W F y Z G U l M j B 2 Z X J 2 Y W 5 n Z W 4 z O T w v S X R l b V B h d G g + P C 9 J d G V t T G 9 j Y X R p b 2 4 + P F N 0 Y W J s Z U V u d H J p Z X M g L z 4 8 L 0 l 0 Z W 0 + P E l 0 Z W 0 + P E l 0 Z W 1 M b 2 N h d G l v b j 4 8 S X R l b V R 5 c G U + R m 9 y b X V s Y T w v S X R l b V R 5 c G U + P E l 0 Z W 1 Q Y X R o P l N l Y 3 R p b 2 4 x L 0 Z T R C 9 O Y W 1 l b i U y M H Z h b i U y M G t v b G 9 t b W V u J T I w Z 2 V 3 a W p 6 a W d k M T k 8 L 0 l 0 Z W 1 Q Y X R o P j w v S X R l b U x v Y 2 F 0 a W 9 u P j x T d G F i b G V F b n R y a W V z I C 8 + P C 9 J d G V t P j x J d G V t P j x J d G V t T G 9 j Y X R p b 2 4 + P E l 0 Z W 1 U e X B l P k Z v c m 1 1 b G E 8 L 0 l 0 Z W 1 U e X B l P j x J d G V t U G F 0 a D 5 T Z W N 0 a W 9 u M S 9 G U 0 Q v V 2 F h c m R l J T I w d m V y d m F u Z 2 V u N D A 8 L 0 l 0 Z W 1 Q Y X R o P j w v S X R l b U x v Y 2 F 0 a W 9 u P j x T d G F i b G V F b n R y a W V z I C 8 + P C 9 J d G V t P j x J d G V t P j x J d G V t T G 9 j Y X R p b 2 4 + P E l 0 Z W 1 U e X B l P k Z v c m 1 1 b G E 8 L 0 l 0 Z W 1 U e X B l P j x J d G V t U G F 0 a D 5 T Z W N 0 a W 9 u M S 9 G U 0 Q v U m l q Z W 4 l M j B n Z X N v c n R l Z X J k P C 9 J d G V t U G F 0 a D 4 8 L 0 l 0 Z W 1 M b 2 N h d G l v b j 4 8 U 3 R h Y m x l R W 5 0 c m l l c y A v P j w v S X R l b T 4 8 S X R l b T 4 8 S X R l b U x v Y 2 F 0 a W 9 u P j x J d G V t V H l w Z T 5 G b 3 J t d W x h P C 9 J d G V t V H l w Z T 4 8 S X R l b V B h d G g + U 2 V j d G l v b j E v S 0 R N L 0 J y b 2 4 8 L 0 l 0 Z W 1 Q Y X R o P j w v S X R l b U x v Y 2 F 0 a W 9 u P j x T d G F i b G V F b n R y a W V z I C 8 + P C 9 J d G V t P j x J d G V t P j x J d G V t T G 9 j Y X R p b 2 4 + P E l 0 Z W 1 U e X B l P k Z v c m 1 1 b G E 8 L 0 l 0 Z W 1 U e X B l P j x J d G V t U G F 0 a D 5 T Z W N 0 a W 9 u M S 9 L R E 0 v S G V h Z G V y c y U y M G 1 l d C U y M H Z l c m h v b 2 d k J T I w b m l 2 Z W F 1 P C 9 J d G V t U G F 0 a D 4 8 L 0 l 0 Z W 1 M b 2 N h d G l v b j 4 8 U 3 R h Y m x l R W 5 0 c m l l c y A v P j w v S X R l b T 4 8 S X R l b T 4 8 S X R l b U x v Y 2 F 0 a W 9 u P j x J d G V t V H l w Z T 5 G b 3 J t d W x h P C 9 J d G V t V H l w Z T 4 8 S X R l b V B h d G g + U 2 V j d G l v b j E v S 0 R N L 0 t v b G 9 t b W V u J T I w d m V y d 2 l q Z G V y Z D w v S X R l b V B h d G g + P C 9 J d G V t T G 9 j Y X R p b 2 4 + P F N 0 Y W J s Z U V u d H J p Z X M g L z 4 8 L 0 l 0 Z W 0 + P E l 0 Z W 0 + P E l 0 Z W 1 M b 2 N h d G l v b j 4 8 S X R l b V R 5 c G U + R m 9 y b X V s Y T w v S X R l b V R 5 c G U + P E l 0 Z W 1 Q Y X R o P l N l Y 3 R p b 2 4 x L 0 t E T S 9 W b 2 x n b 3 J k Z S U y M H Z h b i U y M G t v b G 9 t b W V u J T I w Z 2 V 3 a W p 6 a W d k P C 9 J d G V t U G F 0 a D 4 8 L 0 l 0 Z W 1 M b 2 N h d G l v b j 4 8 U 3 R h Y m x l R W 5 0 c m l l c y A v P j w v S X R l b T 4 8 S X R l b T 4 8 S X R l b U x v Y 2 F 0 a W 9 u P j x J d G V t V H l w Z T 5 G b 3 J t d W x h P C 9 J d G V t V H l w Z T 4 8 S X R l b V B h d G g + U 2 V j d G l v b j E v S 0 R N L 0 5 h b W V u J T I w d m F u J T I w a 2 9 s b 2 1 t Z W 4 l M j B n Z X d p a n p p Z 2 Q 8 L 0 l 0 Z W 1 Q Y X R o P j w v S X R l b U x v Y 2 F 0 a W 9 u P j x T d G F i b G V F b n R y a W V z I C 8 + P C 9 J d G V t P j x J d G V t P j x J d G V t T G 9 j Y X R p b 2 4 + P E l 0 Z W 1 U e X B l P k Z v c m 1 1 b G E 8 L 0 l 0 Z W 1 U e X B l P j x J d G V t U G F 0 a D 5 T Z W N 0 a W 9 u M S 9 L R E 0 v V 2 F h c m R l J T I w d m V y d m F u Z 2 V u P C 9 J d G V t U G F 0 a D 4 8 L 0 l 0 Z W 1 M b 2 N h d G l v b j 4 8 U 3 R h Y m x l R W 5 0 c m l l c y A v P j w v S X R l b T 4 8 S X R l b T 4 8 S X R l b U x v Y 2 F 0 a W 9 u P j x J d G V t V H l w Z T 5 G b 3 J t d W x h P C 9 J d G V t V H l w Z T 4 8 S X R l b V B h d G g + U 2 V j d G l v b j E v S 0 R N L 1 d h Y X J k Z S U y M H Z l c n Z h b m d l b j E 8 L 0 l 0 Z W 1 Q Y X R o P j w v S X R l b U x v Y 2 F 0 a W 9 u P j x T d G F i b G V F b n R y a W V z I C 8 + P C 9 J d G V t P j x J d G V t P j x J d G V t T G 9 j Y X R p b 2 4 + P E l 0 Z W 1 U e X B l P k Z v c m 1 1 b G E 8 L 0 l 0 Z W 1 U e X B l P j x J d G V t U G F 0 a D 5 T Z W N 0 a W 9 u M S 9 L R E 0 v T m F t Z W 4 l M j B 2 Y W 4 l M j B r b 2 x v b W 1 l b i U y M G d l d 2 l q e m l n Z D E 8 L 0 l 0 Z W 1 Q Y X R o P j w v S X R l b U x v Y 2 F 0 a W 9 u P j x T d G F i b G V F b n R y a W V z I C 8 + P C 9 J d G V t P j x J d G V t P j x J d G V t T G 9 j Y X R p b 2 4 + P E l 0 Z W 1 U e X B l P k Z v c m 1 1 b G E 8 L 0 l 0 Z W 1 U e X B l P j x J d G V t U G F 0 a D 5 T Z W N 0 a W 9 u M S 9 L R E 0 v V 2 F h c m R l J T I w d m V y d m F u Z 2 V u M j w v S X R l b V B h d G g + P C 9 J d G V t T G 9 j Y X R p b 2 4 + P F N 0 Y W J s Z U V u d H J p Z X M g L z 4 8 L 0 l 0 Z W 0 + P E l 0 Z W 0 + P E l 0 Z W 1 M b 2 N h d G l v b j 4 8 S X R l b V R 5 c G U + R m 9 y b X V s Y T w v S X R l b V R 5 c G U + P E l 0 Z W 1 Q Y X R o P l N l Y 3 R p b 2 4 x L 0 t E T S 9 X Y W F y Z G U l M j B 2 Z X J 2 Y W 5 n Z W 4 z P C 9 J d G V t U G F 0 a D 4 8 L 0 l 0 Z W 1 M b 2 N h d G l v b j 4 8 U 3 R h Y m x l R W 5 0 c m l l c y A v P j w v S X R l b T 4 8 S X R l b T 4 8 S X R l b U x v Y 2 F 0 a W 9 u P j x J d G V t V H l w Z T 5 G b 3 J t d W x h P C 9 J d G V t V H l w Z T 4 8 S X R l b V B h d G g + U 2 V j d G l v b j E v S 0 R N L 0 5 h b W V u J T I w d m F u J T I w a 2 9 s b 2 1 t Z W 4 l M j B n Z X d p a n p p Z 2 Q y P C 9 J d G V t U G F 0 a D 4 8 L 0 l 0 Z W 1 M b 2 N h d G l v b j 4 8 U 3 R h Y m x l R W 5 0 c m l l c y A v P j w v S X R l b T 4 8 S X R l b T 4 8 S X R l b U x v Y 2 F 0 a W 9 u P j x J d G V t V H l w Z T 5 G b 3 J t d W x h P C 9 J d G V t V H l w Z T 4 8 S X R l b V B h d G g + U 2 V j d G l v b j E v S 0 R N L 1 d h Y X J k Z S U y M H Z l c n Z h b m d l b j Q 8 L 0 l 0 Z W 1 Q Y X R o P j w v S X R l b U x v Y 2 F 0 a W 9 u P j x T d G F i b G V F b n R y a W V z I C 8 + P C 9 J d G V t P j x J d G V t P j x J d G V t T G 9 j Y X R p b 2 4 + P E l 0 Z W 1 U e X B l P k Z v c m 1 1 b G E 8 L 0 l 0 Z W 1 U e X B l P j x J d G V t U G F 0 a D 5 T Z W N 0 a W 9 u M S 9 L R E 0 v V 2 F h c m R l J T I w d m V y d m F u Z 2 V u N T w v S X R l b V B h d G g + P C 9 J d G V t T G 9 j Y X R p b 2 4 + P F N 0 Y W J s Z U V u d H J p Z X M g L z 4 8 L 0 l 0 Z W 0 + P E l 0 Z W 0 + P E l 0 Z W 1 M b 2 N h d G l v b j 4 8 S X R l b V R 5 c G U + R m 9 y b X V s Y T w v S X R l b V R 5 c G U + P E l 0 Z W 1 Q Y X R o P l N l Y 3 R p b 2 4 x L 0 t E T S 9 L b 2 x v b S U y M H N w b G l 0 c 2 V u J T I w b 3 A l M j B z Y 2 h l a W R p b m d z d G V r Z W 4 8 L 0 l 0 Z W 1 Q Y X R o P j w v S X R l b U x v Y 2 F 0 a W 9 u P j x T d G F i b G V F b n R y a W V z I C 8 + P C 9 J d G V t P j x J d G V t P j x J d G V t T G 9 j Y X R p b 2 4 + P E l 0 Z W 1 U e X B l P k Z v c m 1 1 b G E 8 L 0 l 0 Z W 1 U e X B l P j x J d G V t U G F 0 a D 5 T Z W N 0 a W 9 u M S 9 L R E 0 v T m F t Z W 4 l M j B 2 Y W 4 l M j B r b 2 x v b W 1 l b i U y M G d l d 2 l q e m l n Z D M 8 L 0 l 0 Z W 1 Q Y X R o P j w v S X R l b U x v Y 2 F 0 a W 9 u P j x T d G F i b G V F b n R y a W V z I C 8 + P C 9 J d G V t P j x J d G V t P j x J d G V t T G 9 j Y X R p b 2 4 + P E l 0 Z W 1 U e X B l P k Z v c m 1 1 b G E 8 L 0 l 0 Z W 1 U e X B l P j x J d G V t U G F 0 a D 5 T Z W N 0 a W 9 u M S 9 L R E 0 v V 2 F h c m R l J T I w d m V y d m F u Z 2 V u N j w v S X R l b V B h d G g + P C 9 J d G V t T G 9 j Y X R p b 2 4 + P F N 0 Y W J s Z U V u d H J p Z X M g L z 4 8 L 0 l 0 Z W 0 + P E l 0 Z W 0 + P E l 0 Z W 1 M b 2 N h d G l v b j 4 8 S X R l b V R 5 c G U + R m 9 y b X V s Y T w v S X R l b V R 5 c G U + P E l 0 Z W 1 Q Y X R o P l N l Y 3 R p b 2 4 x L 0 t E T S 9 O Y W 1 l b i U y M H Z h b i U y M G t v b G 9 t b W V u J T I w Z 2 V 3 a W p 6 a W d k N D w v S X R l b V B h d G g + P C 9 J d G V t T G 9 j Y X R p b 2 4 + P F N 0 Y W J s Z U V u d H J p Z X M g L z 4 8 L 0 l 0 Z W 0 + P E l 0 Z W 0 + P E l 0 Z W 1 M b 2 N h d G l v b j 4 8 S X R l b V R 5 c G U + R m 9 y b X V s Y T w v S X R l b V R 5 c G U + P E l 0 Z W 1 Q Y X R o P l N l Y 3 R p b 2 4 x L 0 t E T S 9 X Y W F y Z G U l M j B 2 Z X J 2 Y W 5 n Z W 4 3 P C 9 J d G V t U G F 0 a D 4 8 L 0 l 0 Z W 1 M b 2 N h d G l v b j 4 8 U 3 R h Y m x l R W 5 0 c m l l c y A v P j w v S X R l b T 4 8 S X R l b T 4 8 S X R l b U x v Y 2 F 0 a W 9 u P j x J d G V t V H l w Z T 5 G b 3 J t d W x h P C 9 J d G V t V H l w Z T 4 8 S X R l b V B h d G g + U 2 V j d G l v b j E v S 0 R N L 1 d h Y X J k Z S U y M H Z l c n Z h b m d l b j g 8 L 0 l 0 Z W 1 Q Y X R o P j w v S X R l b U x v Y 2 F 0 a W 9 u P j x T d G F i b G V F b n R y a W V z I C 8 + P C 9 J d G V t P j x J d G V t P j x J d G V t T G 9 j Y X R p b 2 4 + P E l 0 Z W 1 U e X B l P k Z v c m 1 1 b G E 8 L 0 l 0 Z W 1 U e X B l P j x J d G V t U G F 0 a D 5 T Z W N 0 a W 9 u M S 9 L R E 0 v V 2 F h c m R l J T I w d m V y d m F u Z 2 V u M j E 8 L 0 l 0 Z W 1 Q Y X R o P j w v S X R l b U x v Y 2 F 0 a W 9 u P j x T d G F i b G V F b n R y a W V z I C 8 + P C 9 J d G V t P j x J d G V t P j x J d G V t T G 9 j Y X R p b 2 4 + P E l 0 Z W 1 U e X B l P k Z v c m 1 1 b G E 8 L 0 l 0 Z W 1 U e X B l P j x J d G V t U G F 0 a D 5 T Z W N 0 a W 9 u M S 9 L R E 0 v V 2 F h c m R l J T I w d m V y d m F u Z 2 V u M j I 8 L 0 l 0 Z W 1 Q Y X R o P j w v S X R l b U x v Y 2 F 0 a W 9 u P j x T d G F i b G V F b n R y a W V z I C 8 + P C 9 J d G V t P j x J d G V t P j x J d G V t T G 9 j Y X R p b 2 4 + P E l 0 Z W 1 U e X B l P k Z v c m 1 1 b G E 8 L 0 l 0 Z W 1 U e X B l P j x J d G V t U G F 0 a D 5 T Z W N 0 a W 9 u M S 9 L R E 0 v V 2 F h c m R l J T I w d m V y d m F u Z 2 V u M j M 8 L 0 l 0 Z W 1 Q Y X R o P j w v S X R l b U x v Y 2 F 0 a W 9 u P j x T d G F i b G V F b n R y a W V z I C 8 + P C 9 J d G V t P j x J d G V t P j x J d G V t T G 9 j Y X R p b 2 4 + P E l 0 Z W 1 U e X B l P k Z v c m 1 1 b G E 8 L 0 l 0 Z W 1 U e X B l P j x J d G V t U G F 0 a D 5 T Z W N 0 a W 9 u M S 9 L R E 0 v V 2 F h c m R l J T I w d m V y d m F u Z 2 V u M j Q 8 L 0 l 0 Z W 1 Q Y X R o P j w v S X R l b U x v Y 2 F 0 a W 9 u P j x T d G F i b G V F b n R y a W V z I C 8 + P C 9 J d G V t P j x J d G V t P j x J d G V t T G 9 j Y X R p b 2 4 + P E l 0 Z W 1 U e X B l P k Z v c m 1 1 b G E 8 L 0 l 0 Z W 1 U e X B l P j x J d G V t U G F 0 a D 5 T Z W N 0 a W 9 u M S 9 L R E 0 v V 2 F h c m R l J T I w d m V y d m F u Z 2 V u M j U 8 L 0 l 0 Z W 1 Q Y X R o P j w v S X R l b U x v Y 2 F 0 a W 9 u P j x T d G F i b G V F b n R y a W V z I C 8 + P C 9 J d G V t P j x J d G V t P j x J d G V t T G 9 j Y X R p b 2 4 + P E l 0 Z W 1 U e X B l P k Z v c m 1 1 b G E 8 L 0 l 0 Z W 1 U e X B l P j x J d G V t U G F 0 a D 5 T Z W N 0 a W 9 u M S 9 L R E 0 v T m F t Z W 4 l M j B 2 Y W 4 l M j B r b 2 x v b W 1 l b i U y M G d l d 2 l q e m l n Z D E x P C 9 J d G V t U G F 0 a D 4 8 L 0 l 0 Z W 1 M b 2 N h d G l v b j 4 8 U 3 R h Y m x l R W 5 0 c m l l c y A v P j w v S X R l b T 4 8 S X R l b T 4 8 S X R l b U x v Y 2 F 0 a W 9 u P j x J d G V t V H l w Z T 5 G b 3 J t d W x h P C 9 J d G V t V H l w Z T 4 8 S X R l b V B h d G g + U 2 V j d G l v b j E v S 0 R N L 1 d h Y X J k Z S U y M H Z l c n Z h b m d l b j I 2 P C 9 J d G V t U G F 0 a D 4 8 L 0 l 0 Z W 1 M b 2 N h d G l v b j 4 8 U 3 R h Y m x l R W 5 0 c m l l c y A v P j w v S X R l b T 4 8 S X R l b T 4 8 S X R l b U x v Y 2 F 0 a W 9 u P j x J d G V t V H l w Z T 5 G b 3 J t d W x h P C 9 J d G V t V H l w Z T 4 8 S X R l b V B h d G g + U 2 V j d G l v b j E v S 0 R N L 1 d h Y X J k Z S U y M H Z l c n Z h b m d l b j I 3 P C 9 J d G V t U G F 0 a D 4 8 L 0 l 0 Z W 1 M b 2 N h d G l v b j 4 8 U 3 R h Y m x l R W 5 0 c m l l c y A v P j w v S X R l b T 4 8 S X R l b T 4 8 S X R l b U x v Y 2 F 0 a W 9 u P j x J d G V t V H l w Z T 5 G b 3 J t d W x h P C 9 J d G V t V H l w Z T 4 8 S X R l b V B h d G g + U 2 V j d G l v b j E v S 0 R N L 0 5 h b W V u J T I w d m F u J T I w a 2 9 s b 2 1 t Z W 4 l M j B n Z X d p a n p p Z 2 Q x M j w v S X R l b V B h d G g + P C 9 J d G V t T G 9 j Y X R p b 2 4 + P F N 0 Y W J s Z U V u d H J p Z X M g L z 4 8 L 0 l 0 Z W 0 + P E l 0 Z W 0 + P E l 0 Z W 1 M b 2 N h d G l v b j 4 8 S X R l b V R 5 c G U + R m 9 y b X V s Y T w v S X R l b V R 5 c G U + P E l 0 Z W 1 Q Y X R o P l N l Y 3 R p b 2 4 x L 0 t E T S 9 X Y W F y Z G U l M j B 2 Z X J 2 Y W 5 n Z W 4 y O D w v S X R l b V B h d G g + P C 9 J d G V t T G 9 j Y X R p b 2 4 + P F N 0 Y W J s Z U V u d H J p Z X M g L z 4 8 L 0 l 0 Z W 0 + P E l 0 Z W 0 + P E l 0 Z W 1 M b 2 N h d G l v b j 4 8 S X R l b V R 5 c G U + R m 9 y b X V s Y T w v S X R l b V R 5 c G U + P E l 0 Z W 1 Q Y X R o P l N l Y 3 R p b 2 4 x L 0 t E T S 9 X Y W F y Z G U l M j B 2 Z X J 2 Y W 5 n Z W 4 y O T w v S X R l b V B h d G g + P C 9 J d G V t T G 9 j Y X R p b 2 4 + P F N 0 Y W J s Z U V u d H J p Z X M g L z 4 8 L 0 l 0 Z W 0 + P E l 0 Z W 0 + P E l 0 Z W 1 M b 2 N h d G l v b j 4 8 S X R l b V R 5 c G U + R m 9 y b X V s Y T w v S X R l b V R 5 c G U + P E l 0 Z W 1 Q Y X R o P l N l Y 3 R p b 2 4 x L 0 t E T S 9 O Y W 1 l b i U y M H Z h b i U y M G t v b G 9 t b W V u J T I w Z 2 V 3 a W p 6 a W d k M T M 8 L 0 l 0 Z W 1 Q Y X R o P j w v S X R l b U x v Y 2 F 0 a W 9 u P j x T d G F i b G V F b n R y a W V z I C 8 + P C 9 J d G V t P j x J d G V t P j x J d G V t T G 9 j Y X R p b 2 4 + P E l 0 Z W 1 U e X B l P k Z v c m 1 1 b G E 8 L 0 l 0 Z W 1 U e X B l P j x J d G V t U G F 0 a D 5 T Z W N 0 a W 9 u M S 9 L R E 0 v V m 9 s Z 2 9 y Z G U l M j B 2 Y W 4 l M j B r b 2 x v b W 1 l b i U y M G d l d 2 l q e m l n Z D E 8 L 0 l 0 Z W 1 Q Y X R o P j w v S X R l b U x v Y 2 F 0 a W 9 u P j x T d G F i b G V F b n R y a W V z I C 8 + P C 9 J d G V t P j x J d G V t P j x J d G V t T G 9 j Y X R p b 2 4 + P E l 0 Z W 1 U e X B l P k Z v c m 1 1 b G E 8 L 0 l 0 Z W 1 U e X B l P j x J d G V t U G F 0 a D 5 T Z W N 0 a W 9 u M S 9 L R E 0 v V 2 F h c m R l J T I w d m V y d m F u Z 2 V u M z A 8 L 0 l 0 Z W 1 Q Y X R o P j w v S X R l b U x v Y 2 F 0 a W 9 u P j x T d G F i b G V F b n R y a W V z I C 8 + P C 9 J d G V t P j x J d G V t P j x J d G V t T G 9 j Y X R p b 2 4 + P E l 0 Z W 1 U e X B l P k Z v c m 1 1 b G E 8 L 0 l 0 Z W 1 U e X B l P j x J d G V t U G F 0 a D 5 T Z W N 0 a W 9 u M S 9 L R E 0 v V 2 F h c m R l J T I w d m V y d m F u Z 2 V u M z E 8 L 0 l 0 Z W 1 Q Y X R o P j w v S X R l b U x v Y 2 F 0 a W 9 u P j x T d G F i b G V F b n R y a W V z I C 8 + P C 9 J d G V t P j x J d G V t P j x J d G V t T G 9 j Y X R p b 2 4 + P E l 0 Z W 1 U e X B l P k Z v c m 1 1 b G E 8 L 0 l 0 Z W 1 U e X B l P j x J d G V t U G F 0 a D 5 T Z W N 0 a W 9 u M S 9 L R E 0 v T m F t Z W 4 l M j B 2 Y W 4 l M j B r b 2 x v b W 1 l b i U y M G d l d 2 l q e m l n Z D E 0 P C 9 J d G V t U G F 0 a D 4 8 L 0 l 0 Z W 1 M b 2 N h d G l v b j 4 8 U 3 R h Y m x l R W 5 0 c m l l c y A v P j w v S X R l b T 4 8 S X R l b T 4 8 S X R l b U x v Y 2 F 0 a W 9 u P j x J d G V t V H l w Z T 5 G b 3 J t d W x h P C 9 J d G V t V H l w Z T 4 8 S X R l b V B h d G g + U 2 V j d G l v b j E v S 0 R N L 1 Z v b G d v c m R l J T I w d m F u J T I w a 2 9 s b 2 1 t Z W 4 l M j B n Z X d p a n p p Z 2 Q y P C 9 J d G V t U G F 0 a D 4 8 L 0 l 0 Z W 1 M b 2 N h d G l v b j 4 8 U 3 R h Y m x l R W 5 0 c m l l c y A v P j w v S X R l b T 4 8 S X R l b T 4 8 S X R l b U x v Y 2 F 0 a W 9 u P j x J d G V t V H l w Z T 5 G b 3 J t d W x h P C 9 J d G V t V H l w Z T 4 8 S X R l b V B h d G g + U 2 V j d G l v b j E v S 0 R N L 0 5 h b W V u J T I w d m F u J T I w a 2 9 s b 2 1 t Z W 4 l M j B n Z X d p a n p p Z 2 Q x N T w v S X R l b V B h d G g + P C 9 J d G V t T G 9 j Y X R p b 2 4 + P F N 0 Y W J s Z U V u d H J p Z X M g L z 4 8 L 0 l 0 Z W 0 + P E l 0 Z W 0 + P E l 0 Z W 1 M b 2 N h d G l v b j 4 8 S X R l b V R 5 c G U + R m 9 y b X V s Y T w v S X R l b V R 5 c G U + P E l 0 Z W 1 Q Y X R o P l N l Y 3 R p b 2 4 x L 0 t E T S 9 X Y W F y Z G U l M j B 2 Z X J 2 Y W 5 n Z W 4 z M j w v S X R l b V B h d G g + P C 9 J d G V t T G 9 j Y X R p b 2 4 + P F N 0 Y W J s Z U V u d H J p Z X M g L z 4 8 L 0 l 0 Z W 0 + P E l 0 Z W 0 + P E l 0 Z W 1 M b 2 N h d G l v b j 4 8 S X R l b V R 5 c G U + R m 9 y b X V s Y T w v S X R l b V R 5 c G U + P E l 0 Z W 1 Q Y X R o P l N l Y 3 R p b 2 4 x L 0 t E T S 9 X Y W F y Z G U l M j B 2 Z X J 2 Y W 5 n Z W 4 z M z w v S X R l b V B h d G g + P C 9 J d G V t T G 9 j Y X R p b 2 4 + P F N 0 Y W J s Z U V u d H J p Z X M g L z 4 8 L 0 l 0 Z W 0 + P E l 0 Z W 0 + P E l 0 Z W 1 M b 2 N h d G l v b j 4 8 S X R l b V R 5 c G U + R m 9 y b X V s Y T w v S X R l b V R 5 c G U + P E l 0 Z W 1 Q Y X R o P l N l Y 3 R p b 2 4 x L 0 t E T S 9 O Y W 1 l b i U y M H Z h b i U y M G t v b G 9 t b W V u J T I w Z 2 V 3 a W p 6 a W d k M T Y 8 L 0 l 0 Z W 1 Q Y X R o P j w v S X R l b U x v Y 2 F 0 a W 9 u P j x T d G F i b G V F b n R y a W V z I C 8 + P C 9 J d G V t P j x J d G V t P j x J d G V t T G 9 j Y X R p b 2 4 + P E l 0 Z W 1 U e X B l P k Z v c m 1 1 b G E 8 L 0 l 0 Z W 1 U e X B l P j x J d G V t U G F 0 a D 5 T Z W N 0 a W 9 u M S 9 L R E 0 v V 2 F h c m R l J T I w d m V y d m F u Z 2 V u M z Q 8 L 0 l 0 Z W 1 Q Y X R o P j w v S X R l b U x v Y 2 F 0 a W 9 u P j x T d G F i b G V F b n R y a W V z I C 8 + P C 9 J d G V t P j x J d G V t P j x J d G V t T G 9 j Y X R p b 2 4 + P E l 0 Z W 1 U e X B l P k Z v c m 1 1 b G E 8 L 0 l 0 Z W 1 U e X B l P j x J d G V t U G F 0 a D 5 T Z W N 0 a W 9 u M S 9 L R E 0 v V 2 F h c m R l J T I w d m V y d m F u Z 2 V u M z U 8 L 0 l 0 Z W 1 Q Y X R o P j w v S X R l b U x v Y 2 F 0 a W 9 u P j x T d G F i b G V F b n R y a W V z I C 8 + P C 9 J d G V t P j x J d G V t P j x J d G V t T G 9 j Y X R p b 2 4 + P E l 0 Z W 1 U e X B l P k Z v c m 1 1 b G E 8 L 0 l 0 Z W 1 U e X B l P j x J d G V t U G F 0 a D 5 T Z W N 0 a W 9 u M S 9 L R E 0 v T m F t Z W 4 l M j B 2 Y W 4 l M j B r b 2 x v b W 1 l b i U y M G d l d 2 l q e m l n Z D E 3 P C 9 J d G V t U G F 0 a D 4 8 L 0 l 0 Z W 1 M b 2 N h d G l v b j 4 8 U 3 R h Y m x l R W 5 0 c m l l c y A v P j w v S X R l b T 4 8 S X R l b T 4 8 S X R l b U x v Y 2 F 0 a W 9 u P j x J d G V t V H l w Z T 5 G b 3 J t d W x h P C 9 J d G V t V H l w Z T 4 8 S X R l b V B h d G g + U 2 V j d G l v b j E v S 0 R N L 1 d h Y X J k Z S U y M H Z l c n Z h b m d l b j M 2 P C 9 J d G V t U G F 0 a D 4 8 L 0 l 0 Z W 1 M b 2 N h d G l v b j 4 8 U 3 R h Y m x l R W 5 0 c m l l c y A v P j w v S X R l b T 4 8 S X R l b T 4 8 S X R l b U x v Y 2 F 0 a W 9 u P j x J d G V t V H l w Z T 5 G b 3 J t d W x h P C 9 J d G V t V H l w Z T 4 8 S X R l b V B h d G g + U 2 V j d G l v b j E v S 0 R N L 1 d h Y X J k Z S U y M H Z l c n Z h b m d l b j M 3 P C 9 J d G V t U G F 0 a D 4 8 L 0 l 0 Z W 1 M b 2 N h d G l v b j 4 8 U 3 R h Y m x l R W 5 0 c m l l c y A v P j w v S X R l b T 4 8 S X R l b T 4 8 S X R l b U x v Y 2 F 0 a W 9 u P j x J d G V t V H l w Z T 5 G b 3 J t d W x h P C 9 J d G V t V H l w Z T 4 8 S X R l b V B h d G g + U 2 V j d G l v b j E v S 0 R N L 1 d h Y X J k Z S U y M H Z l c n Z h b m d l b j M 4 P C 9 J d G V t U G F 0 a D 4 8 L 0 l 0 Z W 1 M b 2 N h d G l v b j 4 8 U 3 R h Y m x l R W 5 0 c m l l c y A v P j w v S X R l b T 4 8 S X R l b T 4 8 S X R l b U x v Y 2 F 0 a W 9 u P j x J d G V t V H l w Z T 5 G b 3 J t d W x h P C 9 J d G V t V H l w Z T 4 8 S X R l b V B h d G g + U 2 V j d G l v b j E v S 0 R N L 0 t v b G 9 t b W V u J T I w c 2 F t Z W 5 n Z X Z v Z W d k P C 9 J d G V t U G F 0 a D 4 8 L 0 l 0 Z W 1 M b 2 N h d G l v b j 4 8 U 3 R h Y m x l R W 5 0 c m l l c y A v P j w v S X R l b T 4 8 S X R l b T 4 8 S X R l b U x v Y 2 F 0 a W 9 u P j x J d G V t V H l w Z T 5 G b 3 J t d W x h P C 9 J d G V t V H l w Z T 4 8 S X R l b V B h d G g + U 2 V j d G l v b j E v S 0 R N L 0 t v b G 9 t b W V u J T I w c 2 F t Z W 5 n Z X Z v Z W d k M T w v S X R l b V B h d G g + P C 9 J d G V t T G 9 j Y X R p b 2 4 + P F N 0 Y W J s Z U V u d H J p Z X M g L z 4 8 L 0 l 0 Z W 0 + P E l 0 Z W 0 + P E l 0 Z W 1 M b 2 N h d G l v b j 4 8 S X R l b V R 5 c G U + R m 9 y b X V s Y T w v S X R l b V R 5 c G U + P E l 0 Z W 1 Q Y X R o P l N l Y 3 R p b 2 4 x L 0 t E T S 9 L b 2 x v b W 1 l b i U y M H N h b W V u Z 2 V 2 b 2 V n Z D I 8 L 0 l 0 Z W 1 Q Y X R o P j w v S X R l b U x v Y 2 F 0 a W 9 u P j x T d G F i b G V F b n R y a W V z I C 8 + P C 9 J d G V t P j x J d G V t P j x J d G V t T G 9 j Y X R p b 2 4 + P E l 0 Z W 1 U e X B l P k Z v c m 1 1 b G E 8 L 0 l 0 Z W 1 U e X B l P j x J d G V t U G F 0 a D 5 T Z W N 0 a W 9 u M S 9 L R E 0 v V 2 F h c m R l J T I w d m V y d m F u Z 2 V u M z k 8 L 0 l 0 Z W 1 Q Y X R o P j w v S X R l b U x v Y 2 F 0 a W 9 u P j x T d G F i b G V F b n R y a W V z I C 8 + P C 9 J d G V t P j x J d G V t P j x J d G V t T G 9 j Y X R p b 2 4 + P E l 0 Z W 1 U e X B l P k Z v c m 1 1 b G E 8 L 0 l 0 Z W 1 U e X B l P j x J d G V t U G F 0 a D 5 T Z W N 0 a W 9 u M S 9 L R E 0 v T m F t Z W 4 l M j B 2 Y W 4 l M j B r b 2 x v b W 1 l b i U y M G d l d 2 l q e m l n Z D E 5 P C 9 J d G V t U G F 0 a D 4 8 L 0 l 0 Z W 1 M b 2 N h d G l v b j 4 8 U 3 R h Y m x l R W 5 0 c m l l c y A v P j w v S X R l b T 4 8 S X R l b T 4 8 S X R l b U x v Y 2 F 0 a W 9 u P j x J d G V t V H l w Z T 5 G b 3 J t d W x h P C 9 J d G V t V H l w Z T 4 8 S X R l b V B h d G g + U 2 V j d G l v b j E v S 0 R N L 1 d h Y X J k Z S U y M H Z l c n Z h b m d l b j Q w P C 9 J d G V t U G F 0 a D 4 8 L 0 l 0 Z W 1 M b 2 N h d G l v b j 4 8 U 3 R h Y m x l R W 5 0 c m l l c y A v P j w v S X R l b T 4 8 S X R l b T 4 8 S X R l b U x v Y 2 F 0 a W 9 u P j x J d G V t V H l w Z T 5 G b 3 J t d W x h P C 9 J d G V t V H l w Z T 4 8 S X R l b V B h d G g + U 2 V j d G l v b j E v S 0 R N L 1 J p a m V u J T I w Z 2 V z b 3 J 0 Z W V y Z D w v S X R l b V B h d G g + P C 9 J d G V t T G 9 j Y X R p b 2 4 + P F N 0 Y W J s Z U V u d H J p Z X M g L z 4 8 L 0 l 0 Z W 0 + P E l 0 Z W 0 + P E l 0 Z W 1 M b 2 N h d G l v b j 4 8 S X R l b V R 5 c G U + R m 9 y b X V s Y T w v S X R l b V R 5 c G U + P E l 0 Z W 1 Q Y X R o P l N l Y 3 R p b 2 4 x L 0 t E T C 9 C c m 9 u P C 9 J d G V t U G F 0 a D 4 8 L 0 l 0 Z W 1 M b 2 N h d G l v b j 4 8 U 3 R h Y m x l R W 5 0 c m l l c y A v P j w v S X R l b T 4 8 S X R l b T 4 8 S X R l b U x v Y 2 F 0 a W 9 u P j x J d G V t V H l w Z T 5 G b 3 J t d W x h P C 9 J d G V t V H l w Z T 4 8 S X R l b V B h d G g + U 2 V j d G l v b j E v S 0 R M L 1 R 5 c G U l M j B n Z X d p a n p p Z 2 Q 8 L 0 l 0 Z W 1 Q Y X R o P j w v S X R l b U x v Y 2 F 0 a W 9 u P j x T d G F i b G V F b n R y a W V z I C 8 + P C 9 J d G V t P j x J d G V t P j x J d G V t T G 9 j Y X R p b 2 4 + P E l 0 Z W 1 U e X B l P k Z v c m 1 1 b G E 8 L 0 l 0 Z W 1 U e X B l P j x J d G V t U G F 0 a D 5 T Z W N 0 a W 9 u M S 9 L R E w v S G V h Z G V y c y U y M G 1 l d C U y M H Z l c m h v b 2 d k J T I w b m l 2 Z W F 1 P C 9 J d G V t U G F 0 a D 4 8 L 0 l 0 Z W 1 M b 2 N h d G l v b j 4 8 U 3 R h Y m x l R W 5 0 c m l l c y A v P j w v S X R l b T 4 8 S X R l b T 4 8 S X R l b U x v Y 2 F 0 a W 9 u P j x J d G V t V H l w Z T 5 G b 3 J t d W x h P C 9 J d G V t V H l w Z T 4 8 S X R l b V B h d G g + U 2 V j d G l v b j E v S 0 R M L 0 t v b G 9 t b W V u J T I w d m V y d 2 l q Z G V y Z D w v S X R l b V B h d G g + P C 9 J d G V t T G 9 j Y X R p b 2 4 + P F N 0 Y W J s Z U V u d H J p Z X M g L z 4 8 L 0 l 0 Z W 0 + P E l 0 Z W 0 + P E l 0 Z W 1 M b 2 N h d G l v b j 4 8 S X R l b V R 5 c G U + R m 9 y b X V s Y T w v S X R l b V R 5 c G U + P E l 0 Z W 1 Q Y X R o P l N l Y 3 R p b 2 4 x L 0 t E T C 9 W b 2 x n b 3 J k Z S U y M H Z h b i U y M G t v b G 9 t b W V u J T I w Z 2 V 3 a W p 6 a W d k P C 9 J d G V t U G F 0 a D 4 8 L 0 l 0 Z W 1 M b 2 N h d G l v b j 4 8 U 3 R h Y m x l R W 5 0 c m l l c y A v P j w v S X R l b T 4 8 S X R l b T 4 8 S X R l b U x v Y 2 F 0 a W 9 u P j x J d G V t V H l w Z T 5 G b 3 J t d W x h P C 9 J d G V t V H l w Z T 4 8 S X R l b V B h d G g + U 2 V j d G l v b j E v S 0 R M L 0 5 h b W V u J T I w d m F u J T I w a 2 9 s b 2 1 t Z W 4 l M j B n Z X d p a n p p Z 2 Q 8 L 0 l 0 Z W 1 Q Y X R o P j w v S X R l b U x v Y 2 F 0 a W 9 u P j x T d G F i b G V F b n R y a W V z I C 8 + P C 9 J d G V t P j x J d G V t P j x J d G V t T G 9 j Y X R p b 2 4 + P E l 0 Z W 1 U e X B l P k Z v c m 1 1 b G E 8 L 0 l 0 Z W 1 U e X B l P j x J d G V t U G F 0 a D 5 T Z W N 0 a W 9 u M S 9 L R E w v V 2 F h c m R l J T I w d m V y d m F u Z 2 V u P C 9 J d G V t U G F 0 a D 4 8 L 0 l 0 Z W 1 M b 2 N h d G l v b j 4 8 U 3 R h Y m x l R W 5 0 c m l l c y A v P j w v S X R l b T 4 8 S X R l b T 4 8 S X R l b U x v Y 2 F 0 a W 9 u P j x J d G V t V H l w Z T 5 G b 3 J t d W x h P C 9 J d G V t V H l w Z T 4 8 S X R l b V B h d G g + U 2 V j d G l v b j E v S 0 R M L 1 d h Y X J k Z S U y M H Z l c n Z h b m d l b j E 8 L 0 l 0 Z W 1 Q Y X R o P j w v S X R l b U x v Y 2 F 0 a W 9 u P j x T d G F i b G V F b n R y a W V z I C 8 + P C 9 J d G V t P j x J d G V t P j x J d G V t T G 9 j Y X R p b 2 4 + P E l 0 Z W 1 U e X B l P k Z v c m 1 1 b G E 8 L 0 l 0 Z W 1 U e X B l P j x J d G V t U G F 0 a D 5 T Z W N 0 a W 9 u M S 9 L R E w v T m F t Z W 4 l M j B 2 Y W 4 l M j B r b 2 x v b W 1 l b i U y M G d l d 2 l q e m l n Z D E 8 L 0 l 0 Z W 1 Q Y X R o P j w v S X R l b U x v Y 2 F 0 a W 9 u P j x T d G F i b G V F b n R y a W V z I C 8 + P C 9 J d G V t P j x J d G V t P j x J d G V t T G 9 j Y X R p b 2 4 + P E l 0 Z W 1 U e X B l P k Z v c m 1 1 b G E 8 L 0 l 0 Z W 1 U e X B l P j x J d G V t U G F 0 a D 5 T Z W N 0 a W 9 u M S 9 L R E w v V 2 F h c m R l J T I w d m V y d m F u Z 2 V u M j w v S X R l b V B h d G g + P C 9 J d G V t T G 9 j Y X R p b 2 4 + P F N 0 Y W J s Z U V u d H J p Z X M g L z 4 8 L 0 l 0 Z W 0 + P E l 0 Z W 0 + P E l 0 Z W 1 M b 2 N h d G l v b j 4 8 S X R l b V R 5 c G U + R m 9 y b X V s Y T w v S X R l b V R 5 c G U + P E l 0 Z W 1 Q Y X R o P l N l Y 3 R p b 2 4 x L 0 t E T C 9 X Y W F y Z G U l M j B 2 Z X J 2 Y W 5 n Z W 4 z P C 9 J d G V t U G F 0 a D 4 8 L 0 l 0 Z W 1 M b 2 N h d G l v b j 4 8 U 3 R h Y m x l R W 5 0 c m l l c y A v P j w v S X R l b T 4 8 S X R l b T 4 8 S X R l b U x v Y 2 F 0 a W 9 u P j x J d G V t V H l w Z T 5 G b 3 J t d W x h P C 9 J d G V t V H l w Z T 4 8 S X R l b V B h d G g + U 2 V j d G l v b j E v S 0 R M L 0 5 h b W V u J T I w d m F u J T I w a 2 9 s b 2 1 t Z W 4 l M j B n Z X d p a n p p Z 2 Q y P C 9 J d G V t U G F 0 a D 4 8 L 0 l 0 Z W 1 M b 2 N h d G l v b j 4 8 U 3 R h Y m x l R W 5 0 c m l l c y A v P j w v S X R l b T 4 8 S X R l b T 4 8 S X R l b U x v Y 2 F 0 a W 9 u P j x J d G V t V H l w Z T 5 G b 3 J t d W x h P C 9 J d G V t V H l w Z T 4 8 S X R l b V B h d G g + U 2 V j d G l v b j E v S 0 R M L 1 d h Y X J k Z S U y M H Z l c n Z h b m d l b j Q 8 L 0 l 0 Z W 1 Q Y X R o P j w v S X R l b U x v Y 2 F 0 a W 9 u P j x T d G F i b G V F b n R y a W V z I C 8 + P C 9 J d G V t P j x J d G V t P j x J d G V t T G 9 j Y X R p b 2 4 + P E l 0 Z W 1 U e X B l P k Z v c m 1 1 b G E 8 L 0 l 0 Z W 1 U e X B l P j x J d G V t U G F 0 a D 5 T Z W N 0 a W 9 u M S 9 L R E w v V 2 F h c m R l J T I w d m V y d m F u Z 2 V u N T w v S X R l b V B h d G g + P C 9 J d G V t T G 9 j Y X R p b 2 4 + P F N 0 Y W J s Z U V u d H J p Z X M g L z 4 8 L 0 l 0 Z W 0 + P E l 0 Z W 0 + P E l 0 Z W 1 M b 2 N h d G l v b j 4 8 S X R l b V R 5 c G U + R m 9 y b X V s Y T w v S X R l b V R 5 c G U + P E l 0 Z W 1 Q Y X R o P l N l Y 3 R p b 2 4 x L 0 t E T C 9 L b 2 x v b S U y M H N w b G l 0 c 2 V u J T I w b 3 A l M j B z Y 2 h l a W R p b m d z d G V r Z W 4 8 L 0 l 0 Z W 1 Q Y X R o P j w v S X R l b U x v Y 2 F 0 a W 9 u P j x T d G F i b G V F b n R y a W V z I C 8 + P C 9 J d G V t P j x J d G V t P j x J d G V t T G 9 j Y X R p b 2 4 + P E l 0 Z W 1 U e X B l P k Z v c m 1 1 b G E 8 L 0 l 0 Z W 1 U e X B l P j x J d G V t U G F 0 a D 5 T Z W N 0 a W 9 u M S 9 L R E w v T m F t Z W 4 l M j B 2 Y W 4 l M j B r b 2 x v b W 1 l b i U y M G d l d 2 l q e m l n Z D M 8 L 0 l 0 Z W 1 Q Y X R o P j w v S X R l b U x v Y 2 F 0 a W 9 u P j x T d G F i b G V F b n R y a W V z I C 8 + P C 9 J d G V t P j x J d G V t P j x J d G V t T G 9 j Y X R p b 2 4 + P E l 0 Z W 1 U e X B l P k Z v c m 1 1 b G E 8 L 0 l 0 Z W 1 U e X B l P j x J d G V t U G F 0 a D 5 T Z W N 0 a W 9 u M S 9 L R E w v V 2 F h c m R l J T I w d m V y d m F u Z 2 V u N j w v S X R l b V B h d G g + P C 9 J d G V t T G 9 j Y X R p b 2 4 + P F N 0 Y W J s Z U V u d H J p Z X M g L z 4 8 L 0 l 0 Z W 0 + P E l 0 Z W 0 + P E l 0 Z W 1 M b 2 N h d G l v b j 4 8 S X R l b V R 5 c G U + R m 9 y b X V s Y T w v S X R l b V R 5 c G U + P E l 0 Z W 1 Q Y X R o P l N l Y 3 R p b 2 4 x L 0 t E T C 9 O Y W 1 l b i U y M H Z h b i U y M G t v b G 9 t b W V u J T I w Z 2 V 3 a W p 6 a W d k N D w v S X R l b V B h d G g + P C 9 J d G V t T G 9 j Y X R p b 2 4 + P F N 0 Y W J s Z U V u d H J p Z X M g L z 4 8 L 0 l 0 Z W 0 + P E l 0 Z W 0 + P E l 0 Z W 1 M b 2 N h d G l v b j 4 8 S X R l b V R 5 c G U + R m 9 y b X V s Y T w v S X R l b V R 5 c G U + P E l 0 Z W 1 Q Y X R o P l N l Y 3 R p b 2 4 x L 0 t E T C 9 X Y W F y Z G U l M j B 2 Z X J 2 Y W 5 n Z W 4 3 P C 9 J d G V t U G F 0 a D 4 8 L 0 l 0 Z W 1 M b 2 N h d G l v b j 4 8 U 3 R h Y m x l R W 5 0 c m l l c y A v P j w v S X R l b T 4 8 S X R l b T 4 8 S X R l b U x v Y 2 F 0 a W 9 u P j x J d G V t V H l w Z T 5 G b 3 J t d W x h P C 9 J d G V t V H l w Z T 4 8 S X R l b V B h d G g + U 2 V j d G l v b j E v S 0 R M L 1 d h Y X J k Z S U y M H Z l c n Z h b m d l b j g 8 L 0 l 0 Z W 1 Q Y X R o P j w v S X R l b U x v Y 2 F 0 a W 9 u P j x T d G F i b G V F b n R y a W V z I C 8 + P C 9 J d G V t P j x J d G V t P j x J d G V t T G 9 j Y X R p b 2 4 + P E l 0 Z W 1 U e X B l P k Z v c m 1 1 b G E 8 L 0 l 0 Z W 1 U e X B l P j x J d G V t U G F 0 a D 5 T Z W N 0 a W 9 u M S 9 L R E w v V 2 F h c m R l J T I w d m V y d m F u Z 2 V u O T w v S X R l b V B h d G g + P C 9 J d G V t T G 9 j Y X R p b 2 4 + P F N 0 Y W J s Z U V u d H J p Z X M g L z 4 8 L 0 l 0 Z W 0 + P E l 0 Z W 0 + P E l 0 Z W 1 M b 2 N h d G l v b j 4 8 S X R l b V R 5 c G U + R m 9 y b X V s Y T w v S X R l b V R 5 c G U + P E l 0 Z W 1 Q Y X R o P l N l Y 3 R p b 2 4 x L 0 t E T C 9 O Y W 1 l b i U y M H Z h b i U y M G t v b G 9 t b W V u J T I w Z 2 V 3 a W p 6 a W d k N T w v S X R l b V B h d G g + P C 9 J d G V t T G 9 j Y X R p b 2 4 + P F N 0 Y W J s Z U V u d H J p Z X M g L z 4 8 L 0 l 0 Z W 0 + P E l 0 Z W 0 + P E l 0 Z W 1 M b 2 N h d G l v b j 4 8 S X R l b V R 5 c G U + R m 9 y b X V s Y T w v S X R l b V R 5 c G U + P E l 0 Z W 1 Q Y X R o P l N l Y 3 R p b 2 4 x L 0 t E T C 9 X Y W F y Z G U l M j B 2 Z X J 2 Y W 5 n Z W 4 y M T w v S X R l b V B h d G g + P C 9 J d G V t T G 9 j Y X R p b 2 4 + P F N 0 Y W J s Z U V u d H J p Z X M g L z 4 8 L 0 l 0 Z W 0 + P E l 0 Z W 0 + P E l 0 Z W 1 M b 2 N h d G l v b j 4 8 S X R l b V R 5 c G U + R m 9 y b X V s Y T w v S X R l b V R 5 c G U + P E l 0 Z W 1 Q Y X R o P l N l Y 3 R p b 2 4 x L 0 t E T C 9 X Y W F y Z G U l M j B 2 Z X J 2 Y W 5 n Z W 4 y M j w v S X R l b V B h d G g + P C 9 J d G V t T G 9 j Y X R p b 2 4 + P F N 0 Y W J s Z U V u d H J p Z X M g L z 4 8 L 0 l 0 Z W 0 + P E l 0 Z W 0 + P E l 0 Z W 1 M b 2 N h d G l v b j 4 8 S X R l b V R 5 c G U + R m 9 y b X V s Y T w v S X R l b V R 5 c G U + P E l 0 Z W 1 Q Y X R o P l N l Y 3 R p b 2 4 x L 0 t E T C 9 X Y W F y Z G U l M j B 2 Z X J 2 Y W 5 n Z W 4 y M z w v S X R l b V B h d G g + P C 9 J d G V t T G 9 j Y X R p b 2 4 + P F N 0 Y W J s Z U V u d H J p Z X M g L z 4 8 L 0 l 0 Z W 0 + P E l 0 Z W 0 + P E l 0 Z W 1 M b 2 N h d G l v b j 4 8 S X R l b V R 5 c G U + R m 9 y b X V s Y T w v S X R l b V R 5 c G U + P E l 0 Z W 1 Q Y X R o P l N l Y 3 R p b 2 4 x L 0 t E T C 9 X Y W F y Z G U l M j B 2 Z X J 2 Y W 5 n Z W 4 y N D w v S X R l b V B h d G g + P C 9 J d G V t T G 9 j Y X R p b 2 4 + P F N 0 Y W J s Z U V u d H J p Z X M g L z 4 8 L 0 l 0 Z W 0 + P E l 0 Z W 0 + P E l 0 Z W 1 M b 2 N h d G l v b j 4 8 S X R l b V R 5 c G U + R m 9 y b X V s Y T w v S X R l b V R 5 c G U + P E l 0 Z W 1 Q Y X R o P l N l Y 3 R p b 2 4 x L 0 t E T C 9 X Y W F y Z G U l M j B 2 Z X J 2 Y W 5 n Z W 4 y N T w v S X R l b V B h d G g + P C 9 J d G V t T G 9 j Y X R p b 2 4 + P F N 0 Y W J s Z U V u d H J p Z X M g L z 4 8 L 0 l 0 Z W 0 + P E l 0 Z W 0 + P E l 0 Z W 1 M b 2 N h d G l v b j 4 8 S X R l b V R 5 c G U + R m 9 y b X V s Y T w v S X R l b V R 5 c G U + P E l 0 Z W 1 Q Y X R o P l N l Y 3 R p b 2 4 x L 0 t E T C 9 O Y W 1 l b i U y M H Z h b i U y M G t v b G 9 t b W V u J T I w Z 2 V 3 a W p 6 a W d k M T E 8 L 0 l 0 Z W 1 Q Y X R o P j w v S X R l b U x v Y 2 F 0 a W 9 u P j x T d G F i b G V F b n R y a W V z I C 8 + P C 9 J d G V t P j x J d G V t P j x J d G V t T G 9 j Y X R p b 2 4 + P E l 0 Z W 1 U e X B l P k Z v c m 1 1 b G E 8 L 0 l 0 Z W 1 U e X B l P j x J d G V t U G F 0 a D 5 T Z W N 0 a W 9 u M S 9 L R E w v V 2 F h c m R l J T I w d m V y d m F u Z 2 V u M j Y 8 L 0 l 0 Z W 1 Q Y X R o P j w v S X R l b U x v Y 2 F 0 a W 9 u P j x T d G F i b G V F b n R y a W V z I C 8 + P C 9 J d G V t P j x J d G V t P j x J d G V t T G 9 j Y X R p b 2 4 + P E l 0 Z W 1 U e X B l P k Z v c m 1 1 b G E 8 L 0 l 0 Z W 1 U e X B l P j x J d G V t U G F 0 a D 5 T Z W N 0 a W 9 u M S 9 L R E w v V 2 F h c m R l J T I w d m V y d m F u Z 2 V u M j c 8 L 0 l 0 Z W 1 Q Y X R o P j w v S X R l b U x v Y 2 F 0 a W 9 u P j x T d G F i b G V F b n R y a W V z I C 8 + P C 9 J d G V t P j x J d G V t P j x J d G V t T G 9 j Y X R p b 2 4 + P E l 0 Z W 1 U e X B l P k Z v c m 1 1 b G E 8 L 0 l 0 Z W 1 U e X B l P j x J d G V t U G F 0 a D 5 T Z W N 0 a W 9 u M S 9 L R E w v T m F t Z W 4 l M j B 2 Y W 4 l M j B r b 2 x v b W 1 l b i U y M G d l d 2 l q e m l n Z D E y P C 9 J d G V t U G F 0 a D 4 8 L 0 l 0 Z W 1 M b 2 N h d G l v b j 4 8 U 3 R h Y m x l R W 5 0 c m l l c y A v P j w v S X R l b T 4 8 S X R l b T 4 8 S X R l b U x v Y 2 F 0 a W 9 u P j x J d G V t V H l w Z T 5 G b 3 J t d W x h P C 9 J d G V t V H l w Z T 4 8 S X R l b V B h d G g + U 2 V j d G l v b j E v S 0 R M L 1 d h Y X J k Z S U y M H Z l c n Z h b m d l b j I 4 P C 9 J d G V t U G F 0 a D 4 8 L 0 l 0 Z W 1 M b 2 N h d G l v b j 4 8 U 3 R h Y m x l R W 5 0 c m l l c y A v P j w v S X R l b T 4 8 S X R l b T 4 8 S X R l b U x v Y 2 F 0 a W 9 u P j x J d G V t V H l w Z T 5 G b 3 J t d W x h P C 9 J d G V t V H l w Z T 4 8 S X R l b V B h d G g + U 2 V j d G l v b j E v S 0 R M L 1 d h Y X J k Z S U y M H Z l c n Z h b m d l b j I 5 P C 9 J d G V t U G F 0 a D 4 8 L 0 l 0 Z W 1 M b 2 N h d G l v b j 4 8 U 3 R h Y m x l R W 5 0 c m l l c y A v P j w v S X R l b T 4 8 S X R l b T 4 8 S X R l b U x v Y 2 F 0 a W 9 u P j x J d G V t V H l w Z T 5 G b 3 J t d W x h P C 9 J d G V t V H l w Z T 4 8 S X R l b V B h d G g + U 2 V j d G l v b j E v S 0 R M L 0 5 h b W V u J T I w d m F u J T I w a 2 9 s b 2 1 t Z W 4 l M j B n Z X d p a n p p Z 2 Q x M z w v S X R l b V B h d G g + P C 9 J d G V t T G 9 j Y X R p b 2 4 + P F N 0 Y W J s Z U V u d H J p Z X M g L z 4 8 L 0 l 0 Z W 0 + P E l 0 Z W 0 + P E l 0 Z W 1 M b 2 N h d G l v b j 4 8 S X R l b V R 5 c G U + R m 9 y b X V s Y T w v S X R l b V R 5 c G U + P E l 0 Z W 1 Q Y X R o P l N l Y 3 R p b 2 4 x L 0 t E T C 9 W b 2 x n b 3 J k Z S U y M H Z h b i U y M G t v b G 9 t b W V u J T I w Z 2 V 3 a W p 6 a W d k M T w v S X R l b V B h d G g + P C 9 J d G V t T G 9 j Y X R p b 2 4 + P F N 0 Y W J s Z U V u d H J p Z X M g L z 4 8 L 0 l 0 Z W 0 + P E l 0 Z W 0 + P E l 0 Z W 1 M b 2 N h d G l v b j 4 8 S X R l b V R 5 c G U + R m 9 y b X V s Y T w v S X R l b V R 5 c G U + P E l 0 Z W 1 Q Y X R o P l N l Y 3 R p b 2 4 x L 0 t E T C 9 X Y W F y Z G U l M j B 2 Z X J 2 Y W 5 n Z W 4 z M D w v S X R l b V B h d G g + P C 9 J d G V t T G 9 j Y X R p b 2 4 + P F N 0 Y W J s Z U V u d H J p Z X M g L z 4 8 L 0 l 0 Z W 0 + P E l 0 Z W 0 + P E l 0 Z W 1 M b 2 N h d G l v b j 4 8 S X R l b V R 5 c G U + R m 9 y b X V s Y T w v S X R l b V R 5 c G U + P E l 0 Z W 1 Q Y X R o P l N l Y 3 R p b 2 4 x L 0 t E T C 9 X Y W F y Z G U l M j B 2 Z X J 2 Y W 5 n Z W 4 z M T w v S X R l b V B h d G g + P C 9 J d G V t T G 9 j Y X R p b 2 4 + P F N 0 Y W J s Z U V u d H J p Z X M g L z 4 8 L 0 l 0 Z W 0 + P E l 0 Z W 0 + P E l 0 Z W 1 M b 2 N h d G l v b j 4 8 S X R l b V R 5 c G U + R m 9 y b X V s Y T w v S X R l b V R 5 c G U + P E l 0 Z W 1 Q Y X R o P l N l Y 3 R p b 2 4 x L 0 t E T C 9 O Y W 1 l b i U y M H Z h b i U y M G t v b G 9 t b W V u J T I w Z 2 V 3 a W p 6 a W d k M T Q 8 L 0 l 0 Z W 1 Q Y X R o P j w v S X R l b U x v Y 2 F 0 a W 9 u P j x T d G F i b G V F b n R y a W V z I C 8 + P C 9 J d G V t P j x J d G V t P j x J d G V t T G 9 j Y X R p b 2 4 + P E l 0 Z W 1 U e X B l P k Z v c m 1 1 b G E 8 L 0 l 0 Z W 1 U e X B l P j x J d G V t U G F 0 a D 5 T Z W N 0 a W 9 u M S 9 L R E w v V m 9 s Z 2 9 y Z G U l M j B 2 Y W 4 l M j B r b 2 x v b W 1 l b i U y M G d l d 2 l q e m l n Z D I 8 L 0 l 0 Z W 1 Q Y X R o P j w v S X R l b U x v Y 2 F 0 a W 9 u P j x T d G F i b G V F b n R y a W V z I C 8 + P C 9 J d G V t P j x J d G V t P j x J d G V t T G 9 j Y X R p b 2 4 + P E l 0 Z W 1 U e X B l P k Z v c m 1 1 b G E 8 L 0 l 0 Z W 1 U e X B l P j x J d G V t U G F 0 a D 5 T Z W N 0 a W 9 u M S 9 L R E w v T m F t Z W 4 l M j B 2 Y W 4 l M j B r b 2 x v b W 1 l b i U y M G d l d 2 l q e m l n Z D E 1 P C 9 J d G V t U G F 0 a D 4 8 L 0 l 0 Z W 1 M b 2 N h d G l v b j 4 8 U 3 R h Y m x l R W 5 0 c m l l c y A v P j w v S X R l b T 4 8 S X R l b T 4 8 S X R l b U x v Y 2 F 0 a W 9 u P j x J d G V t V H l w Z T 5 G b 3 J t d W x h P C 9 J d G V t V H l w Z T 4 8 S X R l b V B h d G g + U 2 V j d G l v b j E v S 0 R M L 1 d h Y X J k Z S U y M H Z l c n Z h b m d l b j M y P C 9 J d G V t U G F 0 a D 4 8 L 0 l 0 Z W 1 M b 2 N h d G l v b j 4 8 U 3 R h Y m x l R W 5 0 c m l l c y A v P j w v S X R l b T 4 8 S X R l b T 4 8 S X R l b U x v Y 2 F 0 a W 9 u P j x J d G V t V H l w Z T 5 G b 3 J t d W x h P C 9 J d G V t V H l w Z T 4 8 S X R l b V B h d G g + U 2 V j d G l v b j E v S 0 R M L 1 d h Y X J k Z S U y M H Z l c n Z h b m d l b j M z P C 9 J d G V t U G F 0 a D 4 8 L 0 l 0 Z W 1 M b 2 N h d G l v b j 4 8 U 3 R h Y m x l R W 5 0 c m l l c y A v P j w v S X R l b T 4 8 S X R l b T 4 8 S X R l b U x v Y 2 F 0 a W 9 u P j x J d G V t V H l w Z T 5 G b 3 J t d W x h P C 9 J d G V t V H l w Z T 4 8 S X R l b V B h d G g + U 2 V j d G l v b j E v S 0 R M L 0 5 h b W V u J T I w d m F u J T I w a 2 9 s b 2 1 t Z W 4 l M j B n Z X d p a n p p Z 2 Q x N j w v S X R l b V B h d G g + P C 9 J d G V t T G 9 j Y X R p b 2 4 + P F N 0 Y W J s Z U V u d H J p Z X M g L z 4 8 L 0 l 0 Z W 0 + P E l 0 Z W 0 + P E l 0 Z W 1 M b 2 N h d G l v b j 4 8 S X R l b V R 5 c G U + R m 9 y b X V s Y T w v S X R l b V R 5 c G U + P E l 0 Z W 1 Q Y X R o P l N l Y 3 R p b 2 4 x L 0 t E T C 9 X Y W F y Z G U l M j B 2 Z X J 2 Y W 5 n Z W 4 z N D w v S X R l b V B h d G g + P C 9 J d G V t T G 9 j Y X R p b 2 4 + P F N 0 Y W J s Z U V u d H J p Z X M g L z 4 8 L 0 l 0 Z W 0 + P E l 0 Z W 0 + P E l 0 Z W 1 M b 2 N h d G l v b j 4 8 S X R l b V R 5 c G U + R m 9 y b X V s Y T w v S X R l b V R 5 c G U + P E l 0 Z W 1 Q Y X R o P l N l Y 3 R p b 2 4 x L 0 t E T C 9 X Y W F y Z G U l M j B 2 Z X J 2 Y W 5 n Z W 4 z N T w v S X R l b V B h d G g + P C 9 J d G V t T G 9 j Y X R p b 2 4 + P F N 0 Y W J s Z U V u d H J p Z X M g L z 4 8 L 0 l 0 Z W 0 + P E l 0 Z W 0 + P E l 0 Z W 1 M b 2 N h d G l v b j 4 8 S X R l b V R 5 c G U + R m 9 y b X V s Y T w v S X R l b V R 5 c G U + P E l 0 Z W 1 Q Y X R o P l N l Y 3 R p b 2 4 x L 0 t E T C 9 O Y W 1 l b i U y M H Z h b i U y M G t v b G 9 t b W V u J T I w Z 2 V 3 a W p 6 a W d k M T c 8 L 0 l 0 Z W 1 Q Y X R o P j w v S X R l b U x v Y 2 F 0 a W 9 u P j x T d G F i b G V F b n R y a W V z I C 8 + P C 9 J d G V t P j x J d G V t P j x J d G V t T G 9 j Y X R p b 2 4 + P E l 0 Z W 1 U e X B l P k Z v c m 1 1 b G E 8 L 0 l 0 Z W 1 U e X B l P j x J d G V t U G F 0 a D 5 T Z W N 0 a W 9 u M S 9 L R E w v V 2 F h c m R l J T I w d m V y d m F u Z 2 V u M z Y 8 L 0 l 0 Z W 1 Q Y X R o P j w v S X R l b U x v Y 2 F 0 a W 9 u P j x T d G F i b G V F b n R y a W V z I C 8 + P C 9 J d G V t P j x J d G V t P j x J d G V t T G 9 j Y X R p b 2 4 + P E l 0 Z W 1 U e X B l P k Z v c m 1 1 b G E 8 L 0 l 0 Z W 1 U e X B l P j x J d G V t U G F 0 a D 5 T Z W N 0 a W 9 u M S 9 L R E w v V 2 F h c m R l J T I w d m V y d m F u Z 2 V u M z c 8 L 0 l 0 Z W 1 Q Y X R o P j w v S X R l b U x v Y 2 F 0 a W 9 u P j x T d G F i b G V F b n R y a W V z I C 8 + P C 9 J d G V t P j x J d G V t P j x J d G V t T G 9 j Y X R p b 2 4 + P E l 0 Z W 1 U e X B l P k Z v c m 1 1 b G E 8 L 0 l 0 Z W 1 U e X B l P j x J d G V t U G F 0 a D 5 T Z W N 0 a W 9 u M S 9 L R E w v V 2 F h c m R l J T I w d m V y d m F u Z 2 V u M z g 8 L 0 l 0 Z W 1 Q Y X R o P j w v S X R l b U x v Y 2 F 0 a W 9 u P j x T d G F i b G V F b n R y a W V z I C 8 + P C 9 J d G V t P j x J d G V t P j x J d G V t T G 9 j Y X R p b 2 4 + P E l 0 Z W 1 U e X B l P k Z v c m 1 1 b G E 8 L 0 l 0 Z W 1 U e X B l P j x J d G V t U G F 0 a D 5 T Z W N 0 a W 9 u M S 9 L R E w v T m F t Z W 4 l M j B 2 Y W 4 l M j B r b 2 x v b W 1 l b i U y M G d l d 2 l q e m l n Z D E 4 P C 9 J d G V t U G F 0 a D 4 8 L 0 l 0 Z W 1 M b 2 N h d G l v b j 4 8 U 3 R h Y m x l R W 5 0 c m l l c y A v P j w v S X R l b T 4 8 S X R l b T 4 8 S X R l b U x v Y 2 F 0 a W 9 u P j x J d G V t V H l w Z T 5 G b 3 J t d W x h P C 9 J d G V t V H l w Z T 4 8 S X R l b V B h d G g + U 2 V j d G l v b j E v S 0 R M L 0 t v b G 9 t b W V u J T I w c 2 F t Z W 5 n Z X Z v Z W d k P C 9 J d G V t U G F 0 a D 4 8 L 0 l 0 Z W 1 M b 2 N h d G l v b j 4 8 U 3 R h Y m x l R W 5 0 c m l l c y A v P j w v S X R l b T 4 8 S X R l b T 4 8 S X R l b U x v Y 2 F 0 a W 9 u P j x J d G V t V H l w Z T 5 G b 3 J t d W x h P C 9 J d G V t V H l w Z T 4 8 S X R l b V B h d G g + U 2 V j d G l v b j E v S 0 R M L 0 t v b G 9 t b W V u J T I w c 2 F t Z W 5 n Z X Z v Z W d k M T w v S X R l b V B h d G g + P C 9 J d G V t T G 9 j Y X R p b 2 4 + P F N 0 Y W J s Z U V u d H J p Z X M g L z 4 8 L 0 l 0 Z W 0 + P E l 0 Z W 0 + P E l 0 Z W 1 M b 2 N h d G l v b j 4 8 S X R l b V R 5 c G U + R m 9 y b X V s Y T w v S X R l b V R 5 c G U + P E l 0 Z W 1 Q Y X R o P l N l Y 3 R p b 2 4 x L 0 t E T C 9 L b 2 x v b W 1 l b i U y M H N h b W V u Z 2 V 2 b 2 V n Z D I 8 L 0 l 0 Z W 1 Q Y X R o P j w v S X R l b U x v Y 2 F 0 a W 9 u P j x T d G F i b G V F b n R y a W V z I C 8 + P C 9 J d G V t P j x J d G V t P j x J d G V t T G 9 j Y X R p b 2 4 + P E l 0 Z W 1 U e X B l P k Z v c m 1 1 b G E 8 L 0 l 0 Z W 1 U e X B l P j x J d G V t U G F 0 a D 5 T Z W N 0 a W 9 u M S 9 L R E w v V 2 F h c m R l J T I w d m V y d m F u Z 2 V u M z k 8 L 0 l 0 Z W 1 Q Y X R o P j w v S X R l b U x v Y 2 F 0 a W 9 u P j x T d G F i b G V F b n R y a W V z I C 8 + P C 9 J d G V t P j x J d G V t P j x J d G V t T G 9 j Y X R p b 2 4 + P E l 0 Z W 1 U e X B l P k Z v c m 1 1 b G E 8 L 0 l 0 Z W 1 U e X B l P j x J d G V t U G F 0 a D 5 T Z W N 0 a W 9 u M S 9 L R E w v T m F t Z W 4 l M j B 2 Y W 4 l M j B r b 2 x v b W 1 l b i U y M G d l d 2 l q e m l n Z D E 5 P C 9 J d G V t U G F 0 a D 4 8 L 0 l 0 Z W 1 M b 2 N h d G l v b j 4 8 U 3 R h Y m x l R W 5 0 c m l l c y A v P j w v S X R l b T 4 8 S X R l b T 4 8 S X R l b U x v Y 2 F 0 a W 9 u P j x J d G V t V H l w Z T 5 G b 3 J t d W x h P C 9 J d G V t V H l w Z T 4 8 S X R l b V B h d G g + U 2 V j d G l v b j E v S 0 R M L 1 d h Y X J k Z S U y M H Z l c n Z h b m d l b j Q w P C 9 J d G V t U G F 0 a D 4 8 L 0 l 0 Z W 1 M b 2 N h d G l v b j 4 8 U 3 R h Y m x l R W 5 0 c m l l c y A v P j w v S X R l b T 4 8 S X R l b T 4 8 S X R l b U x v Y 2 F 0 a W 9 u P j x J d G V t V H l w Z T 5 G b 3 J t d W x h P C 9 J d G V t V H l w Z T 4 8 S X R l b V B h d G g + U 2 V j d G l v b j E v S 0 R M L 1 J p a m V u J T I w Z 2 V z b 3 J 0 Z W V y Z D w v S X R l b V B h d G g + P C 9 J d G V t T G 9 j Y X R p b 2 4 + P F N 0 Y W J s Z U V u d H J p Z X M g L z 4 8 L 0 l 0 Z W 0 + P E l 0 Z W 0 + P E l 0 Z W 1 M b 2 N h d G l v b j 4 8 S X R l b V R 5 c G U + R m 9 y b X V s Y T w v S X R l b V R 5 c G U + P E l 0 Z W 1 Q Y X R o P l N l Y 3 R p b 2 4 x L 0 t E Q S 9 C c m 9 u P C 9 J d G V t U G F 0 a D 4 8 L 0 l 0 Z W 1 M b 2 N h d G l v b j 4 8 U 3 R h Y m x l R W 5 0 c m l l c y A v P j w v S X R l b T 4 8 S X R l b T 4 8 S X R l b U x v Y 2 F 0 a W 9 u P j x J d G V t V H l w Z T 5 G b 3 J t d W x h P C 9 J d G V t V H l w Z T 4 8 S X R l b V B h d G g + U 2 V j d G l v b j E v S 0 R B L 1 R 5 c G U l M j B n Z X d p a n p p Z 2 Q 8 L 0 l 0 Z W 1 Q Y X R o P j w v S X R l b U x v Y 2 F 0 a W 9 u P j x T d G F i b G V F b n R y a W V z I C 8 + P C 9 J d G V t P j x J d G V t P j x J d G V t T G 9 j Y X R p b 2 4 + P E l 0 Z W 1 U e X B l P k Z v c m 1 1 b G E 8 L 0 l 0 Z W 1 U e X B l P j x J d G V t U G F 0 a D 5 T Z W N 0 a W 9 u M S 9 L R E E v S G V h Z G V y c y U y M G 1 l d C U y M H Z l c m h v b 2 d k J T I w b m l 2 Z W F 1 P C 9 J d G V t U G F 0 a D 4 8 L 0 l 0 Z W 1 M b 2 N h d G l v b j 4 8 U 3 R h Y m x l R W 5 0 c m l l c y A v P j w v S X R l b T 4 8 S X R l b T 4 8 S X R l b U x v Y 2 F 0 a W 9 u P j x J d G V t V H l w Z T 5 G b 3 J t d W x h P C 9 J d G V t V H l w Z T 4 8 S X R l b V B h d G g + U 2 V j d G l v b j E v S 0 R B L 0 t v b G 9 t b W V u J T I w d m V y d 2 l q Z G V y Z D w v S X R l b V B h d G g + P C 9 J d G V t T G 9 j Y X R p b 2 4 + P F N 0 Y W J s Z U V u d H J p Z X M g L z 4 8 L 0 l 0 Z W 0 + P E l 0 Z W 0 + P E l 0 Z W 1 M b 2 N h d G l v b j 4 8 S X R l b V R 5 c G U + R m 9 y b X V s Y T w v S X R l b V R 5 c G U + P E l 0 Z W 1 Q Y X R o P l N l Y 3 R p b 2 4 x L 0 t E Q S 9 W b 2 x n b 3 J k Z S U y M H Z h b i U y M G t v b G 9 t b W V u J T I w Z 2 V 3 a W p 6 a W d k P C 9 J d G V t U G F 0 a D 4 8 L 0 l 0 Z W 1 M b 2 N h d G l v b j 4 8 U 3 R h Y m x l R W 5 0 c m l l c y A v P j w v S X R l b T 4 8 S X R l b T 4 8 S X R l b U x v Y 2 F 0 a W 9 u P j x J d G V t V H l w Z T 5 G b 3 J t d W x h P C 9 J d G V t V H l w Z T 4 8 S X R l b V B h d G g + U 2 V j d G l v b j E v S 0 R B L 0 5 h b W V u J T I w d m F u J T I w a 2 9 s b 2 1 t Z W 4 l M j B n Z X d p a n p p Z 2 Q 8 L 0 l 0 Z W 1 Q Y X R o P j w v S X R l b U x v Y 2 F 0 a W 9 u P j x T d G F i b G V F b n R y a W V z I C 8 + P C 9 J d G V t P j x J d G V t P j x J d G V t T G 9 j Y X R p b 2 4 + P E l 0 Z W 1 U e X B l P k Z v c m 1 1 b G E 8 L 0 l 0 Z W 1 U e X B l P j x J d G V t U G F 0 a D 5 T Z W N 0 a W 9 u M S 9 L R E E v V 2 F h c m R l J T I w d m V y d m F u Z 2 V u P C 9 J d G V t U G F 0 a D 4 8 L 0 l 0 Z W 1 M b 2 N h d G l v b j 4 8 U 3 R h Y m x l R W 5 0 c m l l c y A v P j w v S X R l b T 4 8 S X R l b T 4 8 S X R l b U x v Y 2 F 0 a W 9 u P j x J d G V t V H l w Z T 5 G b 3 J t d W x h P C 9 J d G V t V H l w Z T 4 8 S X R l b V B h d G g + U 2 V j d G l v b j E v S 0 R B L 1 d h Y X J k Z S U y M H Z l c n Z h b m d l b j E 8 L 0 l 0 Z W 1 Q Y X R o P j w v S X R l b U x v Y 2 F 0 a W 9 u P j x T d G F i b G V F b n R y a W V z I C 8 + P C 9 J d G V t P j x J d G V t P j x J d G V t T G 9 j Y X R p b 2 4 + P E l 0 Z W 1 U e X B l P k Z v c m 1 1 b G E 8 L 0 l 0 Z W 1 U e X B l P j x J d G V t U G F 0 a D 5 T Z W N 0 a W 9 u M S 9 L R E E v T m F t Z W 4 l M j B 2 Y W 4 l M j B r b 2 x v b W 1 l b i U y M G d l d 2 l q e m l n Z D E 8 L 0 l 0 Z W 1 Q Y X R o P j w v S X R l b U x v Y 2 F 0 a W 9 u P j x T d G F i b G V F b n R y a W V z I C 8 + P C 9 J d G V t P j x J d G V t P j x J d G V t T G 9 j Y X R p b 2 4 + P E l 0 Z W 1 U e X B l P k Z v c m 1 1 b G E 8 L 0 l 0 Z W 1 U e X B l P j x J d G V t U G F 0 a D 5 T Z W N 0 a W 9 u M S 9 L R E E v V 2 F h c m R l J T I w d m V y d m F u Z 2 V u M j w v S X R l b V B h d G g + P C 9 J d G V t T G 9 j Y X R p b 2 4 + P F N 0 Y W J s Z U V u d H J p Z X M g L z 4 8 L 0 l 0 Z W 0 + P E l 0 Z W 0 + P E l 0 Z W 1 M b 2 N h d G l v b j 4 8 S X R l b V R 5 c G U + R m 9 y b X V s Y T w v S X R l b V R 5 c G U + P E l 0 Z W 1 Q Y X R o P l N l Y 3 R p b 2 4 x L 0 t E Q S 9 X Y W F y Z G U l M j B 2 Z X J 2 Y W 5 n Z W 4 z P C 9 J d G V t U G F 0 a D 4 8 L 0 l 0 Z W 1 M b 2 N h d G l v b j 4 8 U 3 R h Y m x l R W 5 0 c m l l c y A v P j w v S X R l b T 4 8 S X R l b T 4 8 S X R l b U x v Y 2 F 0 a W 9 u P j x J d G V t V H l w Z T 5 G b 3 J t d W x h P C 9 J d G V t V H l w Z T 4 8 S X R l b V B h d G g + U 2 V j d G l v b j E v S 0 R B L 0 5 h b W V u J T I w d m F u J T I w a 2 9 s b 2 1 t Z W 4 l M j B n Z X d p a n p p Z 2 Q y P C 9 J d G V t U G F 0 a D 4 8 L 0 l 0 Z W 1 M b 2 N h d G l v b j 4 8 U 3 R h Y m x l R W 5 0 c m l l c y A v P j w v S X R l b T 4 8 S X R l b T 4 8 S X R l b U x v Y 2 F 0 a W 9 u P j x J d G V t V H l w Z T 5 G b 3 J t d W x h P C 9 J d G V t V H l w Z T 4 8 S X R l b V B h d G g + U 2 V j d G l v b j E v S 0 R B L 1 d h Y X J k Z S U y M H Z l c n Z h b m d l b j Q 8 L 0 l 0 Z W 1 Q Y X R o P j w v S X R l b U x v Y 2 F 0 a W 9 u P j x T d G F i b G V F b n R y a W V z I C 8 + P C 9 J d G V t P j x J d G V t P j x J d G V t T G 9 j Y X R p b 2 4 + P E l 0 Z W 1 U e X B l P k Z v c m 1 1 b G E 8 L 0 l 0 Z W 1 U e X B l P j x J d G V t U G F 0 a D 5 T Z W N 0 a W 9 u M S 9 L R E E v V 2 F h c m R l J T I w d m V y d m F u Z 2 V u N T w v S X R l b V B h d G g + P C 9 J d G V t T G 9 j Y X R p b 2 4 + P F N 0 Y W J s Z U V u d H J p Z X M g L z 4 8 L 0 l 0 Z W 0 + P E l 0 Z W 0 + P E l 0 Z W 1 M b 2 N h d G l v b j 4 8 S X R l b V R 5 c G U + R m 9 y b X V s Y T w v S X R l b V R 5 c G U + P E l 0 Z W 1 Q Y X R o P l N l Y 3 R p b 2 4 x L 0 t E Q S 9 L b 2 x v b S U y M H N w b G l 0 c 2 V u J T I w b 3 A l M j B z Y 2 h l a W R p b m d z d G V r Z W 4 8 L 0 l 0 Z W 1 Q Y X R o P j w v S X R l b U x v Y 2 F 0 a W 9 u P j x T d G F i b G V F b n R y a W V z I C 8 + P C 9 J d G V t P j x J d G V t P j x J d G V t T G 9 j Y X R p b 2 4 + P E l 0 Z W 1 U e X B l P k Z v c m 1 1 b G E 8 L 0 l 0 Z W 1 U e X B l P j x J d G V t U G F 0 a D 5 T Z W N 0 a W 9 u M S 9 L R E E v T m F t Z W 4 l M j B 2 Y W 4 l M j B r b 2 x v b W 1 l b i U y M G d l d 2 l q e m l n Z D M 8 L 0 l 0 Z W 1 Q Y X R o P j w v S X R l b U x v Y 2 F 0 a W 9 u P j x T d G F i b G V F b n R y a W V z I C 8 + P C 9 J d G V t P j x J d G V t P j x J d G V t T G 9 j Y X R p b 2 4 + P E l 0 Z W 1 U e X B l P k Z v c m 1 1 b G E 8 L 0 l 0 Z W 1 U e X B l P j x J d G V t U G F 0 a D 5 T Z W N 0 a W 9 u M S 9 L R E E v V 2 F h c m R l J T I w d m V y d m F u Z 2 V u N j w v S X R l b V B h d G g + P C 9 J d G V t T G 9 j Y X R p b 2 4 + P F N 0 Y W J s Z U V u d H J p Z X M g L z 4 8 L 0 l 0 Z W 0 + P E l 0 Z W 0 + P E l 0 Z W 1 M b 2 N h d G l v b j 4 8 S X R l b V R 5 c G U + R m 9 y b X V s Y T w v S X R l b V R 5 c G U + P E l 0 Z W 1 Q Y X R o P l N l Y 3 R p b 2 4 x L 0 t E Q S 9 O Y W 1 l b i U y M H Z h b i U y M G t v b G 9 t b W V u J T I w Z 2 V 3 a W p 6 a W d k N D w v S X R l b V B h d G g + P C 9 J d G V t T G 9 j Y X R p b 2 4 + P F N 0 Y W J s Z U V u d H J p Z X M g L z 4 8 L 0 l 0 Z W 0 + P E l 0 Z W 0 + P E l 0 Z W 1 M b 2 N h d G l v b j 4 8 S X R l b V R 5 c G U + R m 9 y b X V s Y T w v S X R l b V R 5 c G U + P E l 0 Z W 1 Q Y X R o P l N l Y 3 R p b 2 4 x L 0 t E Q S 9 X Y W F y Z G U l M j B 2 Z X J 2 Y W 5 n Z W 4 3 P C 9 J d G V t U G F 0 a D 4 8 L 0 l 0 Z W 1 M b 2 N h d G l v b j 4 8 U 3 R h Y m x l R W 5 0 c m l l c y A v P j w v S X R l b T 4 8 S X R l b T 4 8 S X R l b U x v Y 2 F 0 a W 9 u P j x J d G V t V H l w Z T 5 G b 3 J t d W x h P C 9 J d G V t V H l w Z T 4 8 S X R l b V B h d G g + U 2 V j d G l v b j E v S 0 R B L 1 d h Y X J k Z S U y M H Z l c n Z h b m d l b j g 8 L 0 l 0 Z W 1 Q Y X R o P j w v S X R l b U x v Y 2 F 0 a W 9 u P j x T d G F i b G V F b n R y a W V z I C 8 + P C 9 J d G V t P j x J d G V t P j x J d G V t T G 9 j Y X R p b 2 4 + P E l 0 Z W 1 U e X B l P k Z v c m 1 1 b G E 8 L 0 l 0 Z W 1 U e X B l P j x J d G V t U G F 0 a D 5 T Z W N 0 a W 9 u M S 9 L R E E v V 2 F h c m R l J T I w d m V y d m F u Z 2 V u O T w v S X R l b V B h d G g + P C 9 J d G V t T G 9 j Y X R p b 2 4 + P F N 0 Y W J s Z U V u d H J p Z X M g L z 4 8 L 0 l 0 Z W 0 + P E l 0 Z W 0 + P E l 0 Z W 1 M b 2 N h d G l v b j 4 8 S X R l b V R 5 c G U + R m 9 y b X V s Y T w v S X R l b V R 5 c G U + P E l 0 Z W 1 Q Y X R o P l N l Y 3 R p b 2 4 x L 0 t E Q S 9 O Y W 1 l b i U y M H Z h b i U y M G t v b G 9 t b W V u J T I w Z 2 V 3 a W p 6 a W d k N T w v S X R l b V B h d G g + P C 9 J d G V t T G 9 j Y X R p b 2 4 + P F N 0 Y W J s Z U V u d H J p Z X M g L z 4 8 L 0 l 0 Z W 0 + P E l 0 Z W 0 + P E l 0 Z W 1 M b 2 N h d G l v b j 4 8 S X R l b V R 5 c G U + R m 9 y b X V s Y T w v S X R l b V R 5 c G U + P E l 0 Z W 1 Q Y X R o P l N l Y 3 R p b 2 4 x L 0 t E Q S 9 X Y W F y Z G U l M j B 2 Z X J 2 Y W 5 n Z W 4 y M T w v S X R l b V B h d G g + P C 9 J d G V t T G 9 j Y X R p b 2 4 + P F N 0 Y W J s Z U V u d H J p Z X M g L z 4 8 L 0 l 0 Z W 0 + P E l 0 Z W 0 + P E l 0 Z W 1 M b 2 N h d G l v b j 4 8 S X R l b V R 5 c G U + R m 9 y b X V s Y T w v S X R l b V R 5 c G U + P E l 0 Z W 1 Q Y X R o P l N l Y 3 R p b 2 4 x L 0 t E Q S 9 X Y W F y Z G U l M j B 2 Z X J 2 Y W 5 n Z W 4 y M j w v S X R l b V B h d G g + P C 9 J d G V t T G 9 j Y X R p b 2 4 + P F N 0 Y W J s Z U V u d H J p Z X M g L z 4 8 L 0 l 0 Z W 0 + P E l 0 Z W 0 + P E l 0 Z W 1 M b 2 N h d G l v b j 4 8 S X R l b V R 5 c G U + R m 9 y b X V s Y T w v S X R l b V R 5 c G U + P E l 0 Z W 1 Q Y X R o P l N l Y 3 R p b 2 4 x L 0 t E Q S 9 X Y W F y Z G U l M j B 2 Z X J 2 Y W 5 n Z W 4 y M z w v S X R l b V B h d G g + P C 9 J d G V t T G 9 j Y X R p b 2 4 + P F N 0 Y W J s Z U V u d H J p Z X M g L z 4 8 L 0 l 0 Z W 0 + P E l 0 Z W 0 + P E l 0 Z W 1 M b 2 N h d G l v b j 4 8 S X R l b V R 5 c G U + R m 9 y b X V s Y T w v S X R l b V R 5 c G U + P E l 0 Z W 1 Q Y X R o P l N l Y 3 R p b 2 4 x L 0 t E Q S 9 X Y W F y Z G U l M j B 2 Z X J 2 Y W 5 n Z W 4 y N D w v S X R l b V B h d G g + P C 9 J d G V t T G 9 j Y X R p b 2 4 + P F N 0 Y W J s Z U V u d H J p Z X M g L z 4 8 L 0 l 0 Z W 0 + P E l 0 Z W 0 + P E l 0 Z W 1 M b 2 N h d G l v b j 4 8 S X R l b V R 5 c G U + R m 9 y b X V s Y T w v S X R l b V R 5 c G U + P E l 0 Z W 1 Q Y X R o P l N l Y 3 R p b 2 4 x L 0 t E Q S 9 X Y W F y Z G U l M j B 2 Z X J 2 Y W 5 n Z W 4 y N T w v S X R l b V B h d G g + P C 9 J d G V t T G 9 j Y X R p b 2 4 + P F N 0 Y W J s Z U V u d H J p Z X M g L z 4 8 L 0 l 0 Z W 0 + P E l 0 Z W 0 + P E l 0 Z W 1 M b 2 N h d G l v b j 4 8 S X R l b V R 5 c G U + R m 9 y b X V s Y T w v S X R l b V R 5 c G U + P E l 0 Z W 1 Q Y X R o P l N l Y 3 R p b 2 4 x L 0 t E Q S 9 O Y W 1 l b i U y M H Z h b i U y M G t v b G 9 t b W V u J T I w Z 2 V 3 a W p 6 a W d k M T E 8 L 0 l 0 Z W 1 Q Y X R o P j w v S X R l b U x v Y 2 F 0 a W 9 u P j x T d G F i b G V F b n R y a W V z I C 8 + P C 9 J d G V t P j x J d G V t P j x J d G V t T G 9 j Y X R p b 2 4 + P E l 0 Z W 1 U e X B l P k Z v c m 1 1 b G E 8 L 0 l 0 Z W 1 U e X B l P j x J d G V t U G F 0 a D 5 T Z W N 0 a W 9 u M S 9 L R E E v V 2 F h c m R l J T I w d m V y d m F u Z 2 V u M j Y 8 L 0 l 0 Z W 1 Q Y X R o P j w v S X R l b U x v Y 2 F 0 a W 9 u P j x T d G F i b G V F b n R y a W V z I C 8 + P C 9 J d G V t P j x J d G V t P j x J d G V t T G 9 j Y X R p b 2 4 + P E l 0 Z W 1 U e X B l P k Z v c m 1 1 b G E 8 L 0 l 0 Z W 1 U e X B l P j x J d G V t U G F 0 a D 5 T Z W N 0 a W 9 u M S 9 L R E E v V 2 F h c m R l J T I w d m V y d m F u Z 2 V u M j c 8 L 0 l 0 Z W 1 Q Y X R o P j w v S X R l b U x v Y 2 F 0 a W 9 u P j x T d G F i b G V F b n R y a W V z I C 8 + P C 9 J d G V t P j x J d G V t P j x J d G V t T G 9 j Y X R p b 2 4 + P E l 0 Z W 1 U e X B l P k Z v c m 1 1 b G E 8 L 0 l 0 Z W 1 U e X B l P j x J d G V t U G F 0 a D 5 T Z W N 0 a W 9 u M S 9 L R E E v T m F t Z W 4 l M j B 2 Y W 4 l M j B r b 2 x v b W 1 l b i U y M G d l d 2 l q e m l n Z D E y P C 9 J d G V t U G F 0 a D 4 8 L 0 l 0 Z W 1 M b 2 N h d G l v b j 4 8 U 3 R h Y m x l R W 5 0 c m l l c y A v P j w v S X R l b T 4 8 S X R l b T 4 8 S X R l b U x v Y 2 F 0 a W 9 u P j x J d G V t V H l w Z T 5 G b 3 J t d W x h P C 9 J d G V t V H l w Z T 4 8 S X R l b V B h d G g + U 2 V j d G l v b j E v S 0 R B L 1 d h Y X J k Z S U y M H Z l c n Z h b m d l b j I 4 P C 9 J d G V t U G F 0 a D 4 8 L 0 l 0 Z W 1 M b 2 N h d G l v b j 4 8 U 3 R h Y m x l R W 5 0 c m l l c y A v P j w v S X R l b T 4 8 S X R l b T 4 8 S X R l b U x v Y 2 F 0 a W 9 u P j x J d G V t V H l w Z T 5 G b 3 J t d W x h P C 9 J d G V t V H l w Z T 4 8 S X R l b V B h d G g + U 2 V j d G l v b j E v S 0 R B L 1 d h Y X J k Z S U y M H Z l c n Z h b m d l b j I 5 P C 9 J d G V t U G F 0 a D 4 8 L 0 l 0 Z W 1 M b 2 N h d G l v b j 4 8 U 3 R h Y m x l R W 5 0 c m l l c y A v P j w v S X R l b T 4 8 S X R l b T 4 8 S X R l b U x v Y 2 F 0 a W 9 u P j x J d G V t V H l w Z T 5 G b 3 J t d W x h P C 9 J d G V t V H l w Z T 4 8 S X R l b V B h d G g + U 2 V j d G l v b j E v S 0 R B L 0 5 h b W V u J T I w d m F u J T I w a 2 9 s b 2 1 t Z W 4 l M j B n Z X d p a n p p Z 2 Q x M z w v S X R l b V B h d G g + P C 9 J d G V t T G 9 j Y X R p b 2 4 + P F N 0 Y W J s Z U V u d H J p Z X M g L z 4 8 L 0 l 0 Z W 0 + P E l 0 Z W 0 + P E l 0 Z W 1 M b 2 N h d G l v b j 4 8 S X R l b V R 5 c G U + R m 9 y b X V s Y T w v S X R l b V R 5 c G U + P E l 0 Z W 1 Q Y X R o P l N l Y 3 R p b 2 4 x L 0 t E Q S 9 W b 2 x n b 3 J k Z S U y M H Z h b i U y M G t v b G 9 t b W V u J T I w Z 2 V 3 a W p 6 a W d k M T w v S X R l b V B h d G g + P C 9 J d G V t T G 9 j Y X R p b 2 4 + P F N 0 Y W J s Z U V u d H J p Z X M g L z 4 8 L 0 l 0 Z W 0 + P E l 0 Z W 0 + P E l 0 Z W 1 M b 2 N h d G l v b j 4 8 S X R l b V R 5 c G U + R m 9 y b X V s Y T w v S X R l b V R 5 c G U + P E l 0 Z W 1 Q Y X R o P l N l Y 3 R p b 2 4 x L 0 t E Q S 9 X Y W F y Z G U l M j B 2 Z X J 2 Y W 5 n Z W 4 z M D w v S X R l b V B h d G g + P C 9 J d G V t T G 9 j Y X R p b 2 4 + P F N 0 Y W J s Z U V u d H J p Z X M g L z 4 8 L 0 l 0 Z W 0 + P E l 0 Z W 0 + P E l 0 Z W 1 M b 2 N h d G l v b j 4 8 S X R l b V R 5 c G U + R m 9 y b X V s Y T w v S X R l b V R 5 c G U + P E l 0 Z W 1 Q Y X R o P l N l Y 3 R p b 2 4 x L 0 t E Q S 9 X Y W F y Z G U l M j B 2 Z X J 2 Y W 5 n Z W 4 z M T w v S X R l b V B h d G g + P C 9 J d G V t T G 9 j Y X R p b 2 4 + P F N 0 Y W J s Z U V u d H J p Z X M g L z 4 8 L 0 l 0 Z W 0 + P E l 0 Z W 0 + P E l 0 Z W 1 M b 2 N h d G l v b j 4 8 S X R l b V R 5 c G U + R m 9 y b X V s Y T w v S X R l b V R 5 c G U + P E l 0 Z W 1 Q Y X R o P l N l Y 3 R p b 2 4 x L 0 t E Q S 9 O Y W 1 l b i U y M H Z h b i U y M G t v b G 9 t b W V u J T I w Z 2 V 3 a W p 6 a W d k M T Q 8 L 0 l 0 Z W 1 Q Y X R o P j w v S X R l b U x v Y 2 F 0 a W 9 u P j x T d G F i b G V F b n R y a W V z I C 8 + P C 9 J d G V t P j x J d G V t P j x J d G V t T G 9 j Y X R p b 2 4 + P E l 0 Z W 1 U e X B l P k Z v c m 1 1 b G E 8 L 0 l 0 Z W 1 U e X B l P j x J d G V t U G F 0 a D 5 T Z W N 0 a W 9 u M S 9 L R E E v V m 9 s Z 2 9 y Z G U l M j B 2 Y W 4 l M j B r b 2 x v b W 1 l b i U y M G d l d 2 l q e m l n Z D I 8 L 0 l 0 Z W 1 Q Y X R o P j w v S X R l b U x v Y 2 F 0 a W 9 u P j x T d G F i b G V F b n R y a W V z I C 8 + P C 9 J d G V t P j x J d G V t P j x J d G V t T G 9 j Y X R p b 2 4 + P E l 0 Z W 1 U e X B l P k Z v c m 1 1 b G E 8 L 0 l 0 Z W 1 U e X B l P j x J d G V t U G F 0 a D 5 T Z W N 0 a W 9 u M S 9 L R E E v T m F t Z W 4 l M j B 2 Y W 4 l M j B r b 2 x v b W 1 l b i U y M G d l d 2 l q e m l n Z D E 1 P C 9 J d G V t U G F 0 a D 4 8 L 0 l 0 Z W 1 M b 2 N h d G l v b j 4 8 U 3 R h Y m x l R W 5 0 c m l l c y A v P j w v S X R l b T 4 8 S X R l b T 4 8 S X R l b U x v Y 2 F 0 a W 9 u P j x J d G V t V H l w Z T 5 G b 3 J t d W x h P C 9 J d G V t V H l w Z T 4 8 S X R l b V B h d G g + U 2 V j d G l v b j E v S 0 R B L 1 d h Y X J k Z S U y M H Z l c n Z h b m d l b j M y P C 9 J d G V t U G F 0 a D 4 8 L 0 l 0 Z W 1 M b 2 N h d G l v b j 4 8 U 3 R h Y m x l R W 5 0 c m l l c y A v P j w v S X R l b T 4 8 S X R l b T 4 8 S X R l b U x v Y 2 F 0 a W 9 u P j x J d G V t V H l w Z T 5 G b 3 J t d W x h P C 9 J d G V t V H l w Z T 4 8 S X R l b V B h d G g + U 2 V j d G l v b j E v S 0 R B L 1 d h Y X J k Z S U y M H Z l c n Z h b m d l b j M z P C 9 J d G V t U G F 0 a D 4 8 L 0 l 0 Z W 1 M b 2 N h d G l v b j 4 8 U 3 R h Y m x l R W 5 0 c m l l c y A v P j w v S X R l b T 4 8 S X R l b T 4 8 S X R l b U x v Y 2 F 0 a W 9 u P j x J d G V t V H l w Z T 5 G b 3 J t d W x h P C 9 J d G V t V H l w Z T 4 8 S X R l b V B h d G g + U 2 V j d G l v b j E v S 0 R B L 0 5 h b W V u J T I w d m F u J T I w a 2 9 s b 2 1 t Z W 4 l M j B n Z X d p a n p p Z 2 Q x N j w v S X R l b V B h d G g + P C 9 J d G V t T G 9 j Y X R p b 2 4 + P F N 0 Y W J s Z U V u d H J p Z X M g L z 4 8 L 0 l 0 Z W 0 + P E l 0 Z W 0 + P E l 0 Z W 1 M b 2 N h d G l v b j 4 8 S X R l b V R 5 c G U + R m 9 y b X V s Y T w v S X R l b V R 5 c G U + P E l 0 Z W 1 Q Y X R o P l N l Y 3 R p b 2 4 x L 0 t E Q S 9 X Y W F y Z G U l M j B 2 Z X J 2 Y W 5 n Z W 4 z N D w v S X R l b V B h d G g + P C 9 J d G V t T G 9 j Y X R p b 2 4 + P F N 0 Y W J s Z U V u d H J p Z X M g L z 4 8 L 0 l 0 Z W 0 + P E l 0 Z W 0 + P E l 0 Z W 1 M b 2 N h d G l v b j 4 8 S X R l b V R 5 c G U + R m 9 y b X V s Y T w v S X R l b V R 5 c G U + P E l 0 Z W 1 Q Y X R o P l N l Y 3 R p b 2 4 x L 0 t E Q S 9 X Y W F y Z G U l M j B 2 Z X J 2 Y W 5 n Z W 4 z N T w v S X R l b V B h d G g + P C 9 J d G V t T G 9 j Y X R p b 2 4 + P F N 0 Y W J s Z U V u d H J p Z X M g L z 4 8 L 0 l 0 Z W 0 + P E l 0 Z W 0 + P E l 0 Z W 1 M b 2 N h d G l v b j 4 8 S X R l b V R 5 c G U + R m 9 y b X V s Y T w v S X R l b V R 5 c G U + P E l 0 Z W 1 Q Y X R o P l N l Y 3 R p b 2 4 x L 0 t E Q S 9 O Y W 1 l b i U y M H Z h b i U y M G t v b G 9 t b W V u J T I w Z 2 V 3 a W p 6 a W d k M T c 8 L 0 l 0 Z W 1 Q Y X R o P j w v S X R l b U x v Y 2 F 0 a W 9 u P j x T d G F i b G V F b n R y a W V z I C 8 + P C 9 J d G V t P j x J d G V t P j x J d G V t T G 9 j Y X R p b 2 4 + P E l 0 Z W 1 U e X B l P k Z v c m 1 1 b G E 8 L 0 l 0 Z W 1 U e X B l P j x J d G V t U G F 0 a D 5 T Z W N 0 a W 9 u M S 9 L R E E v V 2 F h c m R l J T I w d m V y d m F u Z 2 V u M z Y 8 L 0 l 0 Z W 1 Q Y X R o P j w v S X R l b U x v Y 2 F 0 a W 9 u P j x T d G F i b G V F b n R y a W V z I C 8 + P C 9 J d G V t P j x J d G V t P j x J d G V t T G 9 j Y X R p b 2 4 + P E l 0 Z W 1 U e X B l P k Z v c m 1 1 b G E 8 L 0 l 0 Z W 1 U e X B l P j x J d G V t U G F 0 a D 5 T Z W N 0 a W 9 u M S 9 L R E E v V 2 F h c m R l J T I w d m V y d m F u Z 2 V u M z c 8 L 0 l 0 Z W 1 Q Y X R o P j w v S X R l b U x v Y 2 F 0 a W 9 u P j x T d G F i b G V F b n R y a W V z I C 8 + P C 9 J d G V t P j x J d G V t P j x J d G V t T G 9 j Y X R p b 2 4 + P E l 0 Z W 1 U e X B l P k Z v c m 1 1 b G E 8 L 0 l 0 Z W 1 U e X B l P j x J d G V t U G F 0 a D 5 T Z W N 0 a W 9 u M S 9 L R E E v V 2 F h c m R l J T I w d m V y d m F u Z 2 V u M z g 8 L 0 l 0 Z W 1 Q Y X R o P j w v S X R l b U x v Y 2 F 0 a W 9 u P j x T d G F i b G V F b n R y a W V z I C 8 + P C 9 J d G V t P j x J d G V t P j x J d G V t T G 9 j Y X R p b 2 4 + P E l 0 Z W 1 U e X B l P k Z v c m 1 1 b G E 8 L 0 l 0 Z W 1 U e X B l P j x J d G V t U G F 0 a D 5 T Z W N 0 a W 9 u M S 9 L R E E v S 2 9 s b 2 1 t Z W 4 l M j B z Y W 1 l b m d l d m 9 l Z 2 Q 8 L 0 l 0 Z W 1 Q Y X R o P j w v S X R l b U x v Y 2 F 0 a W 9 u P j x T d G F i b G V F b n R y a W V z I C 8 + P C 9 J d G V t P j x J d G V t P j x J d G V t T G 9 j Y X R p b 2 4 + P E l 0 Z W 1 U e X B l P k Z v c m 1 1 b G E 8 L 0 l 0 Z W 1 U e X B l P j x J d G V t U G F 0 a D 5 T Z W N 0 a W 9 u M S 9 L R E E v S 2 9 s b 2 1 t Z W 4 l M j B z Y W 1 l b m d l d m 9 l Z 2 Q x P C 9 J d G V t U G F 0 a D 4 8 L 0 l 0 Z W 1 M b 2 N h d G l v b j 4 8 U 3 R h Y m x l R W 5 0 c m l l c y A v P j w v S X R l b T 4 8 S X R l b T 4 8 S X R l b U x v Y 2 F 0 a W 9 u P j x J d G V t V H l w Z T 5 G b 3 J t d W x h P C 9 J d G V t V H l w Z T 4 8 S X R l b V B h d G g + U 2 V j d G l v b j E v S 0 R B L 0 t v b G 9 t b W V u J T I w c 2 F t Z W 5 n Z X Z v Z W d k M j w v S X R l b V B h d G g + P C 9 J d G V t T G 9 j Y X R p b 2 4 + P F N 0 Y W J s Z U V u d H J p Z X M g L z 4 8 L 0 l 0 Z W 0 + P E l 0 Z W 0 + P E l 0 Z W 1 M b 2 N h d G l v b j 4 8 S X R l b V R 5 c G U + R m 9 y b X V s Y T w v S X R l b V R 5 c G U + P E l 0 Z W 1 Q Y X R o P l N l Y 3 R p b 2 4 x L 0 t E Q S 9 X Y W F y Z G U l M j B 2 Z X J 2 Y W 5 n Z W 4 z O T w v S X R l b V B h d G g + P C 9 J d G V t T G 9 j Y X R p b 2 4 + P F N 0 Y W J s Z U V u d H J p Z X M g L z 4 8 L 0 l 0 Z W 0 + P E l 0 Z W 0 + P E l 0 Z W 1 M b 2 N h d G l v b j 4 8 S X R l b V R 5 c G U + R m 9 y b X V s Y T w v S X R l b V R 5 c G U + P E l 0 Z W 1 Q Y X R o P l N l Y 3 R p b 2 4 x L 0 t E Q S 9 O Y W 1 l b i U y M H Z h b i U y M G t v b G 9 t b W V u J T I w Z 2 V 3 a W p 6 a W d k M T k 8 L 0 l 0 Z W 1 Q Y X R o P j w v S X R l b U x v Y 2 F 0 a W 9 u P j x T d G F i b G V F b n R y a W V z I C 8 + P C 9 J d G V t P j x J d G V t P j x J d G V t T G 9 j Y X R p b 2 4 + P E l 0 Z W 1 U e X B l P k Z v c m 1 1 b G E 8 L 0 l 0 Z W 1 U e X B l P j x J d G V t U G F 0 a D 5 T Z W N 0 a W 9 u M S 9 L R E E v V 2 F h c m R l J T I w d m V y d m F u Z 2 V u N D A 8 L 0 l 0 Z W 1 Q Y X R o P j w v S X R l b U x v Y 2 F 0 a W 9 u P j x T d G F i b G V F b n R y a W V z I C 8 + P C 9 J d G V t P j x J d G V t P j x J d G V t T G 9 j Y X R p b 2 4 + P E l 0 Z W 1 U e X B l P k Z v c m 1 1 b G E 8 L 0 l 0 Z W 1 U e X B l P j x J d G V t U G F 0 a D 5 T Z W N 0 a W 9 u M S 9 L R E E v U m l q Z W 4 l M j B n Z X N v c n R l Z X J k P C 9 J d G V t U G F 0 a D 4 8 L 0 l 0 Z W 1 M b 2 N h d G l v b j 4 8 U 3 R h Y m x l R W 5 0 c m l l c y A v P j w v S X R l b T 4 8 S X R l b T 4 8 S X R l b U x v Y 2 F 0 a W 9 u P j x J d G V t V H l w Z T 5 G b 3 J t d W x h P C 9 J d G V t V H l w Z T 4 8 S X R l b V B h d G g + U 2 V j d G l v b j E v S 0 R S d k 5 C L 0 J y b 2 4 8 L 0 l 0 Z W 1 Q Y X R o P j w v S X R l b U x v Y 2 F 0 a W 9 u P j x T d G F i b G V F b n R y a W V z I C 8 + P C 9 J d G V t P j x J d G V t P j x J d G V t T G 9 j Y X R p b 2 4 + P E l 0 Z W 1 U e X B l P k Z v c m 1 1 b G E 8 L 0 l 0 Z W 1 U e X B l P j x J d G V t U G F 0 a D 5 T Z W N 0 a W 9 u M S 9 L R F J 2 T k I v V H l w Z S U y M G d l d 2 l q e m l n Z D w v S X R l b V B h d G g + P C 9 J d G V t T G 9 j Y X R p b 2 4 + P F N 0 Y W J s Z U V u d H J p Z X M g L z 4 8 L 0 l 0 Z W 0 + P E l 0 Z W 0 + P E l 0 Z W 1 M b 2 N h d G l v b j 4 8 S X R l b V R 5 c G U + R m 9 y b X V s Y T w v S X R l b V R 5 c G U + P E l 0 Z W 1 Q Y X R o P l N l Y 3 R p b 2 4 x L 0 t E U n Z O Q i 9 I Z W F k Z X J z J T I w b W V 0 J T I w d m V y a G 9 v Z 2 Q l M j B u a X Z l Y X U 8 L 0 l 0 Z W 1 Q Y X R o P j w v S X R l b U x v Y 2 F 0 a W 9 u P j x T d G F i b G V F b n R y a W V z I C 8 + P C 9 J d G V t P j x J d G V t P j x J d G V t T G 9 j Y X R p b 2 4 + P E l 0 Z W 1 U e X B l P k Z v c m 1 1 b G E 8 L 0 l 0 Z W 1 U e X B l P j x J d G V t U G F 0 a D 5 T Z W N 0 a W 9 u M S 9 L R F J 2 T k I v S 2 9 s b 2 1 t Z W 4 l M j B 2 Z X J 3 a W p k Z X J k P C 9 J d G V t U G F 0 a D 4 8 L 0 l 0 Z W 1 M b 2 N h d G l v b j 4 8 U 3 R h Y m x l R W 5 0 c m l l c y A v P j w v S X R l b T 4 8 S X R l b T 4 8 S X R l b U x v Y 2 F 0 a W 9 u P j x J d G V t V H l w Z T 5 G b 3 J t d W x h P C 9 J d G V t V H l w Z T 4 8 S X R l b V B h d G g + U 2 V j d G l v b j E v S 0 R S d k 5 C L 1 Z v b G d v c m R l J T I w d m F u J T I w a 2 9 s b 2 1 t Z W 4 l M j B n Z X d p a n p p Z 2 Q 8 L 0 l 0 Z W 1 Q Y X R o P j w v S X R l b U x v Y 2 F 0 a W 9 u P j x T d G F i b G V F b n R y a W V z I C 8 + P C 9 J d G V t P j x J d G V t P j x J d G V t T G 9 j Y X R p b 2 4 + P E l 0 Z W 1 U e X B l P k Z v c m 1 1 b G E 8 L 0 l 0 Z W 1 U e X B l P j x J d G V t U G F 0 a D 5 T Z W N 0 a W 9 u M S 9 L R F J 2 T k I v T m F t Z W 4 l M j B 2 Y W 4 l M j B r b 2 x v b W 1 l b i U y M G d l d 2 l q e m l n Z D w v S X R l b V B h d G g + P C 9 J d G V t T G 9 j Y X R p b 2 4 + P F N 0 Y W J s Z U V u d H J p Z X M g L z 4 8 L 0 l 0 Z W 0 + P E l 0 Z W 0 + P E l 0 Z W 1 M b 2 N h d G l v b j 4 8 S X R l b V R 5 c G U + R m 9 y b X V s Y T w v S X R l b V R 5 c G U + P E l 0 Z W 1 Q Y X R o P l N l Y 3 R p b 2 4 x L 0 t E U n Z O Q i 9 X Y W F y Z G U l M j B 2 Z X J 2 Y W 5 n Z W 4 8 L 0 l 0 Z W 1 Q Y X R o P j w v S X R l b U x v Y 2 F 0 a W 9 u P j x T d G F i b G V F b n R y a W V z I C 8 + P C 9 J d G V t P j x J d G V t P j x J d G V t T G 9 j Y X R p b 2 4 + P E l 0 Z W 1 U e X B l P k Z v c m 1 1 b G E 8 L 0 l 0 Z W 1 U e X B l P j x J d G V t U G F 0 a D 5 T Z W N 0 a W 9 u M S 9 L R F J 2 T k I v V 2 F h c m R l J T I w d m V y d m F u Z 2 V u M T w v S X R l b V B h d G g + P C 9 J d G V t T G 9 j Y X R p b 2 4 + P F N 0 Y W J s Z U V u d H J p Z X M g L z 4 8 L 0 l 0 Z W 0 + P E l 0 Z W 0 + P E l 0 Z W 1 M b 2 N h d G l v b j 4 8 S X R l b V R 5 c G U + R m 9 y b X V s Y T w v S X R l b V R 5 c G U + P E l 0 Z W 1 Q Y X R o P l N l Y 3 R p b 2 4 x L 0 t E U n Z O Q i 9 O Y W 1 l b i U y M H Z h b i U y M G t v b G 9 t b W V u J T I w Z 2 V 3 a W p 6 a W d k M T w v S X R l b V B h d G g + P C 9 J d G V t T G 9 j Y X R p b 2 4 + P F N 0 Y W J s Z U V u d H J p Z X M g L z 4 8 L 0 l 0 Z W 0 + P E l 0 Z W 0 + P E l 0 Z W 1 M b 2 N h d G l v b j 4 8 S X R l b V R 5 c G U + R m 9 y b X V s Y T w v S X R l b V R 5 c G U + P E l 0 Z W 1 Q Y X R o P l N l Y 3 R p b 2 4 x L 0 t E U n Z O Q i 9 X Y W F y Z G U l M j B 2 Z X J 2 Y W 5 n Z W 4 y P C 9 J d G V t U G F 0 a D 4 8 L 0 l 0 Z W 1 M b 2 N h d G l v b j 4 8 U 3 R h Y m x l R W 5 0 c m l l c y A v P j w v S X R l b T 4 8 S X R l b T 4 8 S X R l b U x v Y 2 F 0 a W 9 u P j x J d G V t V H l w Z T 5 G b 3 J t d W x h P C 9 J d G V t V H l w Z T 4 8 S X R l b V B h d G g + U 2 V j d G l v b j E v S 0 R S d k 5 C L 1 d h Y X J k Z S U y M H Z l c n Z h b m d l b j M 8 L 0 l 0 Z W 1 Q Y X R o P j w v S X R l b U x v Y 2 F 0 a W 9 u P j x T d G F i b G V F b n R y a W V z I C 8 + P C 9 J d G V t P j x J d G V t P j x J d G V t T G 9 j Y X R p b 2 4 + P E l 0 Z W 1 U e X B l P k Z v c m 1 1 b G E 8 L 0 l 0 Z W 1 U e X B l P j x J d G V t U G F 0 a D 5 T Z W N 0 a W 9 u M S 9 L R F J 2 T k I v T m F t Z W 4 l M j B 2 Y W 4 l M j B r b 2 x v b W 1 l b i U y M G d l d 2 l q e m l n Z D I 8 L 0 l 0 Z W 1 Q Y X R o P j w v S X R l b U x v Y 2 F 0 a W 9 u P j x T d G F i b G V F b n R y a W V z I C 8 + P C 9 J d G V t P j x J d G V t P j x J d G V t T G 9 j Y X R p b 2 4 + P E l 0 Z W 1 U e X B l P k Z v c m 1 1 b G E 8 L 0 l 0 Z W 1 U e X B l P j x J d G V t U G F 0 a D 5 T Z W N 0 a W 9 u M S 9 L R F J 2 T k I v V 2 F h c m R l J T I w d m V y d m F u Z 2 V u N D w v S X R l b V B h d G g + P C 9 J d G V t T G 9 j Y X R p b 2 4 + P F N 0 Y W J s Z U V u d H J p Z X M g L z 4 8 L 0 l 0 Z W 0 + P E l 0 Z W 0 + P E l 0 Z W 1 M b 2 N h d G l v b j 4 8 S X R l b V R 5 c G U + R m 9 y b X V s Y T w v S X R l b V R 5 c G U + P E l 0 Z W 1 Q Y X R o P l N l Y 3 R p b 2 4 x L 0 t E U n Z O Q i 9 X Y W F y Z G U l M j B 2 Z X J 2 Y W 5 n Z W 4 1 P C 9 J d G V t U G F 0 a D 4 8 L 0 l 0 Z W 1 M b 2 N h d G l v b j 4 8 U 3 R h Y m x l R W 5 0 c m l l c y A v P j w v S X R l b T 4 8 S X R l b T 4 8 S X R l b U x v Y 2 F 0 a W 9 u P j x J d G V t V H l w Z T 5 G b 3 J t d W x h P C 9 J d G V t V H l w Z T 4 8 S X R l b V B h d G g + U 2 V j d G l v b j E v S 0 R S d k 5 C L 0 t v b G 9 t J T I w c 3 B s a X R z Z W 4 l M j B v c C U y M H N j a G V p Z G l u Z 3 N 0 Z W t l b j w v S X R l b V B h d G g + P C 9 J d G V t T G 9 j Y X R p b 2 4 + P F N 0 Y W J s Z U V u d H J p Z X M g L z 4 8 L 0 l 0 Z W 0 + P E l 0 Z W 0 + P E l 0 Z W 1 M b 2 N h d G l v b j 4 8 S X R l b V R 5 c G U + R m 9 y b X V s Y T w v S X R l b V R 5 c G U + P E l 0 Z W 1 Q Y X R o P l N l Y 3 R p b 2 4 x L 0 t E U n Z O Q i 9 O Y W 1 l b i U y M H Z h b i U y M G t v b G 9 t b W V u J T I w Z 2 V 3 a W p 6 a W d k M z w v S X R l b V B h d G g + P C 9 J d G V t T G 9 j Y X R p b 2 4 + P F N 0 Y W J s Z U V u d H J p Z X M g L z 4 8 L 0 l 0 Z W 0 + P E l 0 Z W 0 + P E l 0 Z W 1 M b 2 N h d G l v b j 4 8 S X R l b V R 5 c G U + R m 9 y b X V s Y T w v S X R l b V R 5 c G U + P E l 0 Z W 1 Q Y X R o P l N l Y 3 R p b 2 4 x L 0 t E U n Z O Q i 9 X Y W F y Z G U l M j B 2 Z X J 2 Y W 5 n Z W 4 2 P C 9 J d G V t U G F 0 a D 4 8 L 0 l 0 Z W 1 M b 2 N h d G l v b j 4 8 U 3 R h Y m x l R W 5 0 c m l l c y A v P j w v S X R l b T 4 8 S X R l b T 4 8 S X R l b U x v Y 2 F 0 a W 9 u P j x J d G V t V H l w Z T 5 G b 3 J t d W x h P C 9 J d G V t V H l w Z T 4 8 S X R l b V B h d G g + U 2 V j d G l v b j E v S 0 R S d k 5 C L 0 5 h b W V u J T I w d m F u J T I w a 2 9 s b 2 1 t Z W 4 l M j B n Z X d p a n p p Z 2 Q 0 P C 9 J d G V t U G F 0 a D 4 8 L 0 l 0 Z W 1 M b 2 N h d G l v b j 4 8 U 3 R h Y m x l R W 5 0 c m l l c y A v P j w v S X R l b T 4 8 S X R l b T 4 8 S X R l b U x v Y 2 F 0 a W 9 u P j x J d G V t V H l w Z T 5 G b 3 J t d W x h P C 9 J d G V t V H l w Z T 4 8 S X R l b V B h d G g + U 2 V j d G l v b j E v S 0 R S d k 5 C L 1 d h Y X J k Z S U y M H Z l c n Z h b m d l b j c 8 L 0 l 0 Z W 1 Q Y X R o P j w v S X R l b U x v Y 2 F 0 a W 9 u P j x T d G F i b G V F b n R y a W V z I C 8 + P C 9 J d G V t P j x J d G V t P j x J d G V t T G 9 j Y X R p b 2 4 + P E l 0 Z W 1 U e X B l P k Z v c m 1 1 b G E 8 L 0 l 0 Z W 1 U e X B l P j x J d G V t U G F 0 a D 5 T Z W N 0 a W 9 u M S 9 L R F J 2 T k I v V 2 F h c m R l J T I w d m V y d m F u Z 2 V u O D w v S X R l b V B h d G g + P C 9 J d G V t T G 9 j Y X R p b 2 4 + P F N 0 Y W J s Z U V u d H J p Z X M g L z 4 8 L 0 l 0 Z W 0 + P E l 0 Z W 0 + P E l 0 Z W 1 M b 2 N h d G l v b j 4 8 S X R l b V R 5 c G U + R m 9 y b X V s Y T w v S X R l b V R 5 c G U + P E l 0 Z W 1 Q Y X R o P l N l Y 3 R p b 2 4 x L 0 t E U n Z O Q i 9 X Y W F y Z G U l M j B 2 Z X J 2 Y W 5 n Z W 4 5 P C 9 J d G V t U G F 0 a D 4 8 L 0 l 0 Z W 1 M b 2 N h d G l v b j 4 8 U 3 R h Y m x l R W 5 0 c m l l c y A v P j w v S X R l b T 4 8 S X R l b T 4 8 S X R l b U x v Y 2 F 0 a W 9 u P j x J d G V t V H l w Z T 5 G b 3 J t d W x h P C 9 J d G V t V H l w Z T 4 8 S X R l b V B h d G g + U 2 V j d G l v b j E v S 0 R S d k 5 C L 0 5 h b W V u J T I w d m F u J T I w a 2 9 s b 2 1 t Z W 4 l M j B n Z X d p a n p p Z 2 Q 1 P C 9 J d G V t U G F 0 a D 4 8 L 0 l 0 Z W 1 M b 2 N h d G l v b j 4 8 U 3 R h Y m x l R W 5 0 c m l l c y A v P j w v S X R l b T 4 8 S X R l b T 4 8 S X R l b U x v Y 2 F 0 a W 9 u P j x J d G V t V H l w Z T 5 G b 3 J t d W x h P C 9 J d G V t V H l w Z T 4 8 S X R l b V B h d G g + U 2 V j d G l v b j E v S 0 R S d k 5 C L 1 d h Y X J k Z S U y M H Z l c n Z h b m d l b j I x P C 9 J d G V t U G F 0 a D 4 8 L 0 l 0 Z W 1 M b 2 N h d G l v b j 4 8 U 3 R h Y m x l R W 5 0 c m l l c y A v P j w v S X R l b T 4 8 S X R l b T 4 8 S X R l b U x v Y 2 F 0 a W 9 u P j x J d G V t V H l w Z T 5 G b 3 J t d W x h P C 9 J d G V t V H l w Z T 4 8 S X R l b V B h d G g + U 2 V j d G l v b j E v S 0 R S d k 5 C L 1 d h Y X J k Z S U y M H Z l c n Z h b m d l b j I y P C 9 J d G V t U G F 0 a D 4 8 L 0 l 0 Z W 1 M b 2 N h d G l v b j 4 8 U 3 R h Y m x l R W 5 0 c m l l c y A v P j w v S X R l b T 4 8 S X R l b T 4 8 S X R l b U x v Y 2 F 0 a W 9 u P j x J d G V t V H l w Z T 5 G b 3 J t d W x h P C 9 J d G V t V H l w Z T 4 8 S X R l b V B h d G g + U 2 V j d G l v b j E v S 0 R S d k 5 C L 1 d h Y X J k Z S U y M H Z l c n Z h b m d l b j I z P C 9 J d G V t U G F 0 a D 4 8 L 0 l 0 Z W 1 M b 2 N h d G l v b j 4 8 U 3 R h Y m x l R W 5 0 c m l l c y A v P j w v S X R l b T 4 8 S X R l b T 4 8 S X R l b U x v Y 2 F 0 a W 9 u P j x J d G V t V H l w Z T 5 G b 3 J t d W x h P C 9 J d G V t V H l w Z T 4 8 S X R l b V B h d G g + U 2 V j d G l v b j E v S 0 R S d k 5 C L 1 d h Y X J k Z S U y M H Z l c n Z h b m d l b j I 0 P C 9 J d G V t U G F 0 a D 4 8 L 0 l 0 Z W 1 M b 2 N h d G l v b j 4 8 U 3 R h Y m x l R W 5 0 c m l l c y A v P j w v S X R l b T 4 8 S X R l b T 4 8 S X R l b U x v Y 2 F 0 a W 9 u P j x J d G V t V H l w Z T 5 G b 3 J t d W x h P C 9 J d G V t V H l w Z T 4 8 S X R l b V B h d G g + U 2 V j d G l v b j E v S 0 R S d k 5 C L 1 d h Y X J k Z S U y M H Z l c n Z h b m d l b j I 1 P C 9 J d G V t U G F 0 a D 4 8 L 0 l 0 Z W 1 M b 2 N h d G l v b j 4 8 U 3 R h Y m x l R W 5 0 c m l l c y A v P j w v S X R l b T 4 8 S X R l b T 4 8 S X R l b U x v Y 2 F 0 a W 9 u P j x J d G V t V H l w Z T 5 G b 3 J t d W x h P C 9 J d G V t V H l w Z T 4 8 S X R l b V B h d G g + U 2 V j d G l v b j E v S 0 R S d k 5 C L 0 5 h b W V u J T I w d m F u J T I w a 2 9 s b 2 1 t Z W 4 l M j B n Z X d p a n p p Z 2 Q x M T w v S X R l b V B h d G g + P C 9 J d G V t T G 9 j Y X R p b 2 4 + P F N 0 Y W J s Z U V u d H J p Z X M g L z 4 8 L 0 l 0 Z W 0 + P E l 0 Z W 0 + P E l 0 Z W 1 M b 2 N h d G l v b j 4 8 S X R l b V R 5 c G U + R m 9 y b X V s Y T w v S X R l b V R 5 c G U + P E l 0 Z W 1 Q Y X R o P l N l Y 3 R p b 2 4 x L 0 t E U n Z O Q i 9 X Y W F y Z G U l M j B 2 Z X J 2 Y W 5 n Z W 4 y N j w v S X R l b V B h d G g + P C 9 J d G V t T G 9 j Y X R p b 2 4 + P F N 0 Y W J s Z U V u d H J p Z X M g L z 4 8 L 0 l 0 Z W 0 + P E l 0 Z W 0 + P E l 0 Z W 1 M b 2 N h d G l v b j 4 8 S X R l b V R 5 c G U + R m 9 y b X V s Y T w v S X R l b V R 5 c G U + P E l 0 Z W 1 Q Y X R o P l N l Y 3 R p b 2 4 x L 0 t E U n Z O Q i 9 X Y W F y Z G U l M j B 2 Z X J 2 Y W 5 n Z W 4 y N z w v S X R l b V B h d G g + P C 9 J d G V t T G 9 j Y X R p b 2 4 + P F N 0 Y W J s Z U V u d H J p Z X M g L z 4 8 L 0 l 0 Z W 0 + P E l 0 Z W 0 + P E l 0 Z W 1 M b 2 N h d G l v b j 4 8 S X R l b V R 5 c G U + R m 9 y b X V s Y T w v S X R l b V R 5 c G U + P E l 0 Z W 1 Q Y X R o P l N l Y 3 R p b 2 4 x L 0 t E U n Z O Q i 9 O Y W 1 l b i U y M H Z h b i U y M G t v b G 9 t b W V u J T I w Z 2 V 3 a W p 6 a W d k M T I 8 L 0 l 0 Z W 1 Q Y X R o P j w v S X R l b U x v Y 2 F 0 a W 9 u P j x T d G F i b G V F b n R y a W V z I C 8 + P C 9 J d G V t P j x J d G V t P j x J d G V t T G 9 j Y X R p b 2 4 + P E l 0 Z W 1 U e X B l P k Z v c m 1 1 b G E 8 L 0 l 0 Z W 1 U e X B l P j x J d G V t U G F 0 a D 5 T Z W N 0 a W 9 u M S 9 L R F J 2 T k I v V 2 F h c m R l J T I w d m V y d m F u Z 2 V u M j g 8 L 0 l 0 Z W 1 Q Y X R o P j w v S X R l b U x v Y 2 F 0 a W 9 u P j x T d G F i b G V F b n R y a W V z I C 8 + P C 9 J d G V t P j x J d G V t P j x J d G V t T G 9 j Y X R p b 2 4 + P E l 0 Z W 1 U e X B l P k Z v c m 1 1 b G E 8 L 0 l 0 Z W 1 U e X B l P j x J d G V t U G F 0 a D 5 T Z W N 0 a W 9 u M S 9 L R F J 2 T k I v V 2 F h c m R l J T I w d m V y d m F u Z 2 V u M j k 8 L 0 l 0 Z W 1 Q Y X R o P j w v S X R l b U x v Y 2 F 0 a W 9 u P j x T d G F i b G V F b n R y a W V z I C 8 + P C 9 J d G V t P j x J d G V t P j x J d G V t T G 9 j Y X R p b 2 4 + P E l 0 Z W 1 U e X B l P k Z v c m 1 1 b G E 8 L 0 l 0 Z W 1 U e X B l P j x J d G V t U G F 0 a D 5 T Z W N 0 a W 9 u M S 9 L R F J 2 T k I v T m F t Z W 4 l M j B 2 Y W 4 l M j B r b 2 x v b W 1 l b i U y M G d l d 2 l q e m l n Z D E z P C 9 J d G V t U G F 0 a D 4 8 L 0 l 0 Z W 1 M b 2 N h d G l v b j 4 8 U 3 R h Y m x l R W 5 0 c m l l c y A v P j w v S X R l b T 4 8 S X R l b T 4 8 S X R l b U x v Y 2 F 0 a W 9 u P j x J d G V t V H l w Z T 5 G b 3 J t d W x h P C 9 J d G V t V H l w Z T 4 8 S X R l b V B h d G g + U 2 V j d G l v b j E v S 0 R S d k 5 C L 1 Z v b G d v c m R l J T I w d m F u J T I w a 2 9 s b 2 1 t Z W 4 l M j B n Z X d p a n p p Z 2 Q x P C 9 J d G V t U G F 0 a D 4 8 L 0 l 0 Z W 1 M b 2 N h d G l v b j 4 8 U 3 R h Y m x l R W 5 0 c m l l c y A v P j w v S X R l b T 4 8 S X R l b T 4 8 S X R l b U x v Y 2 F 0 a W 9 u P j x J d G V t V H l w Z T 5 G b 3 J t d W x h P C 9 J d G V t V H l w Z T 4 8 S X R l b V B h d G g + U 2 V j d G l v b j E v S 0 R S d k 5 C L 1 d h Y X J k Z S U y M H Z l c n Z h b m d l b j M w P C 9 J d G V t U G F 0 a D 4 8 L 0 l 0 Z W 1 M b 2 N h d G l v b j 4 8 U 3 R h Y m x l R W 5 0 c m l l c y A v P j w v S X R l b T 4 8 S X R l b T 4 8 S X R l b U x v Y 2 F 0 a W 9 u P j x J d G V t V H l w Z T 5 G b 3 J t d W x h P C 9 J d G V t V H l w Z T 4 8 S X R l b V B h d G g + U 2 V j d G l v b j E v S 0 R S d k 5 C L 1 d h Y X J k Z S U y M H Z l c n Z h b m d l b j M x P C 9 J d G V t U G F 0 a D 4 8 L 0 l 0 Z W 1 M b 2 N h d G l v b j 4 8 U 3 R h Y m x l R W 5 0 c m l l c y A v P j w v S X R l b T 4 8 S X R l b T 4 8 S X R l b U x v Y 2 F 0 a W 9 u P j x J d G V t V H l w Z T 5 G b 3 J t d W x h P C 9 J d G V t V H l w Z T 4 8 S X R l b V B h d G g + U 2 V j d G l v b j E v S 0 R S d k 5 C L 0 5 h b W V u J T I w d m F u J T I w a 2 9 s b 2 1 t Z W 4 l M j B n Z X d p a n p p Z 2 Q x N D w v S X R l b V B h d G g + P C 9 J d G V t T G 9 j Y X R p b 2 4 + P F N 0 Y W J s Z U V u d H J p Z X M g L z 4 8 L 0 l 0 Z W 0 + P E l 0 Z W 0 + P E l 0 Z W 1 M b 2 N h d G l v b j 4 8 S X R l b V R 5 c G U + R m 9 y b X V s Y T w v S X R l b V R 5 c G U + P E l 0 Z W 1 Q Y X R o P l N l Y 3 R p b 2 4 x L 0 t E U n Z O Q i 9 W b 2 x n b 3 J k Z S U y M H Z h b i U y M G t v b G 9 t b W V u J T I w Z 2 V 3 a W p 6 a W d k M j w v S X R l b V B h d G g + P C 9 J d G V t T G 9 j Y X R p b 2 4 + P F N 0 Y W J s Z U V u d H J p Z X M g L z 4 8 L 0 l 0 Z W 0 + P E l 0 Z W 0 + P E l 0 Z W 1 M b 2 N h d G l v b j 4 8 S X R l b V R 5 c G U + R m 9 y b X V s Y T w v S X R l b V R 5 c G U + P E l 0 Z W 1 Q Y X R o P l N l Y 3 R p b 2 4 x L 0 t E U n Z O Q i 9 O Y W 1 l b i U y M H Z h b i U y M G t v b G 9 t b W V u J T I w Z 2 V 3 a W p 6 a W d k M T U 8 L 0 l 0 Z W 1 Q Y X R o P j w v S X R l b U x v Y 2 F 0 a W 9 u P j x T d G F i b G V F b n R y a W V z I C 8 + P C 9 J d G V t P j x J d G V t P j x J d G V t T G 9 j Y X R p b 2 4 + P E l 0 Z W 1 U e X B l P k Z v c m 1 1 b G E 8 L 0 l 0 Z W 1 U e X B l P j x J d G V t U G F 0 a D 5 T Z W N 0 a W 9 u M S 9 L R F J 2 T k I v V 2 F h c m R l J T I w d m V y d m F u Z 2 V u M z I 8 L 0 l 0 Z W 1 Q Y X R o P j w v S X R l b U x v Y 2 F 0 a W 9 u P j x T d G F i b G V F b n R y a W V z I C 8 + P C 9 J d G V t P j x J d G V t P j x J d G V t T G 9 j Y X R p b 2 4 + P E l 0 Z W 1 U e X B l P k Z v c m 1 1 b G E 8 L 0 l 0 Z W 1 U e X B l P j x J d G V t U G F 0 a D 5 T Z W N 0 a W 9 u M S 9 L R F J 2 T k I v V 2 F h c m R l J T I w d m V y d m F u Z 2 V u M z M 8 L 0 l 0 Z W 1 Q Y X R o P j w v S X R l b U x v Y 2 F 0 a W 9 u P j x T d G F i b G V F b n R y a W V z I C 8 + P C 9 J d G V t P j x J d G V t P j x J d G V t T G 9 j Y X R p b 2 4 + P E l 0 Z W 1 U e X B l P k Z v c m 1 1 b G E 8 L 0 l 0 Z W 1 U e X B l P j x J d G V t U G F 0 a D 5 T Z W N 0 a W 9 u M S 9 L R F J 2 T k I v T m F t Z W 4 l M j B 2 Y W 4 l M j B r b 2 x v b W 1 l b i U y M G d l d 2 l q e m l n Z D E 2 P C 9 J d G V t U G F 0 a D 4 8 L 0 l 0 Z W 1 M b 2 N h d G l v b j 4 8 U 3 R h Y m x l R W 5 0 c m l l c y A v P j w v S X R l b T 4 8 S X R l b T 4 8 S X R l b U x v Y 2 F 0 a W 9 u P j x J d G V t V H l w Z T 5 G b 3 J t d W x h P C 9 J d G V t V H l w Z T 4 8 S X R l b V B h d G g + U 2 V j d G l v b j E v S 0 R S d k 5 C L 1 d h Y X J k Z S U y M H Z l c n Z h b m d l b j M 0 P C 9 J d G V t U G F 0 a D 4 8 L 0 l 0 Z W 1 M b 2 N h d G l v b j 4 8 U 3 R h Y m x l R W 5 0 c m l l c y A v P j w v S X R l b T 4 8 S X R l b T 4 8 S X R l b U x v Y 2 F 0 a W 9 u P j x J d G V t V H l w Z T 5 G b 3 J t d W x h P C 9 J d G V t V H l w Z T 4 8 S X R l b V B h d G g + U 2 V j d G l v b j E v S 0 R S d k 5 C L 1 d h Y X J k Z S U y M H Z l c n Z h b m d l b j M 1 P C 9 J d G V t U G F 0 a D 4 8 L 0 l 0 Z W 1 M b 2 N h d G l v b j 4 8 U 3 R h Y m x l R W 5 0 c m l l c y A v P j w v S X R l b T 4 8 S X R l b T 4 8 S X R l b U x v Y 2 F 0 a W 9 u P j x J d G V t V H l w Z T 5 G b 3 J t d W x h P C 9 J d G V t V H l w Z T 4 8 S X R l b V B h d G g + U 2 V j d G l v b j E v S 0 R S d k 5 C L 0 5 h b W V u J T I w d m F u J T I w a 2 9 s b 2 1 t Z W 4 l M j B n Z X d p a n p p Z 2 Q x N z w v S X R l b V B h d G g + P C 9 J d G V t T G 9 j Y X R p b 2 4 + P F N 0 Y W J s Z U V u d H J p Z X M g L z 4 8 L 0 l 0 Z W 0 + P E l 0 Z W 0 + P E l 0 Z W 1 M b 2 N h d G l v b j 4 8 S X R l b V R 5 c G U + R m 9 y b X V s Y T w v S X R l b V R 5 c G U + P E l 0 Z W 1 Q Y X R o P l N l Y 3 R p b 2 4 x L 0 t E U n Z O Q i 9 X Y W F y Z G U l M j B 2 Z X J 2 Y W 5 n Z W 4 z N j w v S X R l b V B h d G g + P C 9 J d G V t T G 9 j Y X R p b 2 4 + P F N 0 Y W J s Z U V u d H J p Z X M g L z 4 8 L 0 l 0 Z W 0 + P E l 0 Z W 0 + P E l 0 Z W 1 M b 2 N h d G l v b j 4 8 S X R l b V R 5 c G U + R m 9 y b X V s Y T w v S X R l b V R 5 c G U + P E l 0 Z W 1 Q Y X R o P l N l Y 3 R p b 2 4 x L 0 t E U n Z O Q i 9 X Y W F y Z G U l M j B 2 Z X J 2 Y W 5 n Z W 4 z N z w v S X R l b V B h d G g + P C 9 J d G V t T G 9 j Y X R p b 2 4 + P F N 0 Y W J s Z U V u d H J p Z X M g L z 4 8 L 0 l 0 Z W 0 + P E l 0 Z W 0 + P E l 0 Z W 1 M b 2 N h d G l v b j 4 8 S X R l b V R 5 c G U + R m 9 y b X V s Y T w v S X R l b V R 5 c G U + P E l 0 Z W 1 Q Y X R o P l N l Y 3 R p b 2 4 x L 0 t E U n Z O Q i 9 X Y W F y Z G U l M j B 2 Z X J 2 Y W 5 n Z W 4 z O D w v S X R l b V B h d G g + P C 9 J d G V t T G 9 j Y X R p b 2 4 + P F N 0 Y W J s Z U V u d H J p Z X M g L z 4 8 L 0 l 0 Z W 0 + P E l 0 Z W 0 + P E l 0 Z W 1 M b 2 N h d G l v b j 4 8 S X R l b V R 5 c G U + R m 9 y b X V s Y T w v S X R l b V R 5 c G U + P E l 0 Z W 1 Q Y X R o P l N l Y 3 R p b 2 4 x L 0 t E U n Z O Q i 9 L b 2 x v b W 1 l b i U y M H N h b W V u Z 2 V 2 b 2 V n Z D w v S X R l b V B h d G g + P C 9 J d G V t T G 9 j Y X R p b 2 4 + P F N 0 Y W J s Z U V u d H J p Z X M g L z 4 8 L 0 l 0 Z W 0 + P E l 0 Z W 0 + P E l 0 Z W 1 M b 2 N h d G l v b j 4 8 S X R l b V R 5 c G U + R m 9 y b X V s Y T w v S X R l b V R 5 c G U + P E l 0 Z W 1 Q Y X R o P l N l Y 3 R p b 2 4 x L 0 t E U n Z O Q i 9 L b 2 x v b W 1 l b i U y M H N h b W V u Z 2 V 2 b 2 V n Z D E 8 L 0 l 0 Z W 1 Q Y X R o P j w v S X R l b U x v Y 2 F 0 a W 9 u P j x T d G F i b G V F b n R y a W V z I C 8 + P C 9 J d G V t P j x J d G V t P j x J d G V t T G 9 j Y X R p b 2 4 + P E l 0 Z W 1 U e X B l P k Z v c m 1 1 b G E 8 L 0 l 0 Z W 1 U e X B l P j x J d G V t U G F 0 a D 5 T Z W N 0 a W 9 u M S 9 L R F J 2 T k I v S 2 9 s b 2 1 t Z W 4 l M j B z Y W 1 l b m d l d m 9 l Z 2 Q y P C 9 J d G V t U G F 0 a D 4 8 L 0 l 0 Z W 1 M b 2 N h d G l v b j 4 8 U 3 R h Y m x l R W 5 0 c m l l c y A v P j w v S X R l b T 4 8 S X R l b T 4 8 S X R l b U x v Y 2 F 0 a W 9 u P j x J d G V t V H l w Z T 5 G b 3 J t d W x h P C 9 J d G V t V H l w Z T 4 8 S X R l b V B h d G g + U 2 V j d G l v b j E v S 0 R S d k 5 C L 1 d h Y X J k Z S U y M H Z l c n Z h b m d l b j M 5 P C 9 J d G V t U G F 0 a D 4 8 L 0 l 0 Z W 1 M b 2 N h d G l v b j 4 8 U 3 R h Y m x l R W 5 0 c m l l c y A v P j w v S X R l b T 4 8 S X R l b T 4 8 S X R l b U x v Y 2 F 0 a W 9 u P j x J d G V t V H l w Z T 5 G b 3 J t d W x h P C 9 J d G V t V H l w Z T 4 8 S X R l b V B h d G g + U 2 V j d G l v b j E v S 0 R S d k 5 C L 0 5 h b W V u J T I w d m F u J T I w a 2 9 s b 2 1 t Z W 4 l M j B n Z X d p a n p p Z 2 Q x O T w v S X R l b V B h d G g + P C 9 J d G V t T G 9 j Y X R p b 2 4 + P F N 0 Y W J s Z U V u d H J p Z X M g L z 4 8 L 0 l 0 Z W 0 + P E l 0 Z W 0 + P E l 0 Z W 1 M b 2 N h d G l v b j 4 8 S X R l b V R 5 c G U + R m 9 y b X V s Y T w v S X R l b V R 5 c G U + P E l 0 Z W 1 Q Y X R o P l N l Y 3 R p b 2 4 x L 0 t E U n Z O Q i 9 X Y W F y Z G U l M j B 2 Z X J 2 Y W 5 n Z W 4 0 M D w v S X R l b V B h d G g + P C 9 J d G V t T G 9 j Y X R p b 2 4 + P F N 0 Y W J s Z U V u d H J p Z X M g L z 4 8 L 0 l 0 Z W 0 + P E l 0 Z W 0 + P E l 0 Z W 1 M b 2 N h d G l v b j 4 8 S X R l b V R 5 c G U + R m 9 y b X V s Y T w v S X R l b V R 5 c G U + P E l 0 Z W 1 Q Y X R o P l N l Y 3 R p b 2 4 x L 0 t E U n Z O Q i 9 S a W p l b i U y M G d l c 2 9 y d G V l c m Q 8 L 0 l 0 Z W 1 Q Y X R o P j w v S X R l b U x v Y 2 F 0 a W 9 u P j x T d G F i b G V F b n R y a W V z I C 8 + P C 9 J d G V t P j x J d G V t P j x J d G V t T G 9 j Y X R p b 2 4 + P E l 0 Z W 1 U e X B l P k Z v c m 1 1 b G E 8 L 0 l 0 Z W 1 U e X B l P j x J d G V t U G F 0 a D 5 T Z W N 0 a W 9 u M S 9 L c m l u Z 2 R h Z 2 V u L 0 J y b 2 4 8 L 0 l 0 Z W 1 Q Y X R o P j w v S X R l b U x v Y 2 F 0 a W 9 u P j x T d G F i b G V F b n R y a W V z I C 8 + P C 9 J d G V t P j x J d G V t P j x J d G V t T G 9 j Y X R p b 2 4 + P E l 0 Z W 1 U e X B l P k Z v c m 1 1 b G E 8 L 0 l 0 Z W 1 U e X B l P j x J d G V t U G F 0 a D 5 T Z W N 0 a W 9 u M S 9 L R E 0 v V H l w Z S U y M G d l d 2 l q e m l n Z D E 8 L 0 l 0 Z W 1 Q Y X R o P j w v S X R l b U x v Y 2 F 0 a W 9 u P j x T d G F i b G V F b n R y a W V z I C 8 + P C 9 J d G V t P j x J d G V t P j x J d G V t T G 9 j Y X R p b 2 4 + P E l 0 Z W 1 U e X B l P k Z v c m 1 1 b G E 8 L 0 l 0 Z W 1 U e X B l P j x J d G V t U G F 0 a D 5 T Z W N 0 a W 9 u M S 9 L R E w v V H l w Z S U y M G d l d 2 l q e m l n Z D E 8 L 0 l 0 Z W 1 Q Y X R o P j w v S X R l b U x v Y 2 F 0 a W 9 u P j x T d G F i b G V F b n R y a W V z I C 8 + P C 9 J d G V t P j x J d G V t P j x J d G V t T G 9 j Y X R p b 2 4 + P E l 0 Z W 1 U e X B l P k Z v c m 1 1 b G E 8 L 0 l 0 Z W 1 U e X B l P j x J d G V t U G F 0 a D 5 T Z W N 0 a W 9 u M S 9 L R E E v V H l w Z S U y M G d l d 2 l q e m l n Z D E 8 L 0 l 0 Z W 1 Q Y X R o P j w v S X R l b U x v Y 2 F 0 a W 9 u P j x T d G F i b G V F b n R y a W V z I C 8 + P C 9 J d G V t P j x J d G V t P j x J d G V t T G 9 j Y X R p b 2 4 + P E l 0 Z W 1 U e X B l P k Z v c m 1 1 b G E 8 L 0 l 0 Z W 1 U e X B l P j x J d G V t U G F 0 a D 5 T Z W N 0 a W 9 u M S 9 L R F J 2 T k I v V H l w Z S U y M G d l d 2 l q e m l n Z D E 8 L 0 l 0 Z W 1 Q Y X R o P j w v S X R l b U x v Y 2 F 0 a W 9 u P j x T d G F i b G V F b n R y a W V z I C 8 + P C 9 J d G V t P j x J d G V t P j x J d G V t T G 9 j Y X R p b 2 4 + P E l 0 Z W 1 U e X B l P k Z v c m 1 1 b G E 8 L 0 l 0 Z W 1 U e X B l P j x J d G V t U G F 0 a D 5 T Z W N 0 a W 9 u M S 9 G U 0 Q v V H l w Z S U y M G d l d 2 l q e m l n Z D E 8 L 0 l 0 Z W 1 Q Y X R o P j w v S X R l b U x v Y 2 F 0 a W 9 u P j x T d G F i b G V F b n R y a W V z I C 8 + P C 9 J d G V t P j x J d G V t P j x J d G V t T G 9 j Y X R p b 2 4 + P E l 0 Z W 1 U e X B l P k Z v c m 1 1 b G E 8 L 0 l 0 Z W 1 U e X B l P j x J d G V t U G F 0 a D 5 T Z W N 0 a W 9 u M S 9 W b 2 9 y Y m V l b G R i Z X N 0 Y W 5 k L 0 J y b 2 4 8 L 0 l 0 Z W 1 Q Y X R o P j w v S X R l b U x v Y 2 F 0 a W 9 u P j x T d G F i b G V F b n R y a W V z I C 8 + P C 9 J d G V t P j x J d G V t P j x J d G V t T G 9 j Y X R p b 2 4 + P E l 0 Z W 1 U e X B l P k Z v c m 1 1 b G E 8 L 0 l 0 Z W 1 U e X B l P j x J d G V t U G F 0 a D 5 T Z W N 0 a W 9 u M S 9 W b 2 9 y Y m V l b G R i Z X N 0 Y W 5 k L 0 5 h d m l n Y X R p Z T E 8 L 0 l 0 Z W 1 Q Y X R o P j w v S X R l b U x v Y 2 F 0 a W 9 u P j x T d G F i b G V F b n R y a W V z I C 8 + P C 9 J d G V t P j x J d G V t P j x J d G V t T G 9 j Y X R p b 2 4 + P E l 0 Z W 1 U e X B l P k Z v c m 1 1 b G E 8 L 0 l 0 Z W 1 U e X B l P j x J d G V t U G F 0 a D 5 T Z W N 0 a W 9 u M S 9 W b 2 9 y Y m V l b G R i Z X N 0 Y W 5 k J T I w d H J h b n N m b 3 J t Z X J l b i 9 C c m 9 u P C 9 J d G V t U G F 0 a D 4 8 L 0 l 0 Z W 1 M b 2 N h d G l v b j 4 8 U 3 R h Y m x l R W 5 0 c m l l c y A v P j w v S X R l b T 4 8 S X R l b T 4 8 S X R l b U x v Y 2 F 0 a W 9 u P j x J d G V t V H l w Z T 5 G b 3 J t d W x h P C 9 J d G V t V H l w Z T 4 8 S X R l b V B h d G g + U 2 V j d G l v b j E v V m 9 v c m J l Z W x k Y m V z d G F u Z C U y M H R y Y W 5 z Z m 9 y b W V y Z W 4 v S G V h Z G V y c y U y M G 1 l d C U y M H Z l c m h v b 2 d k J T I w b m l 2 Z W F 1 P C 9 J d G V t U G F 0 a D 4 8 L 0 l 0 Z W 1 M b 2 N h d G l v b j 4 8 U 3 R h Y m x l R W 5 0 c m l l c y A v P j w v S X R l b T 4 8 S X R l b T 4 8 S X R l b U x v Y 2 F 0 a W 9 u P j x J d G V t V H l w Z T 5 G b 3 J t d W x h P C 9 J d G V t V H l w Z T 4 8 S X R l b V B h d G g + U 2 V j d G l v b j E v V m 9 v c m J l Z W x k Y m V z d G F u Z C U y M C U y O D I l M j k v Q n J v b j w v S X R l b V B h d G g + P C 9 J d G V t T G 9 j Y X R p b 2 4 + P F N 0 Y W J s Z U V u d H J p Z X M g L z 4 8 L 0 l 0 Z W 0 + P E l 0 Z W 0 + P E l 0 Z W 1 M b 2 N h d G l v b j 4 8 S X R l b V R 5 c G U + R m 9 y b X V s Y T w v S X R l b V R 5 c G U + P E l 0 Z W 1 Q Y X R o P l N l Y 3 R p b 2 4 x L 1 Z v b 3 J i Z W V s Z G J l c 3 R h b m Q l M j A l M j g y J T I 5 L 0 5 h d m l n Y X R p Z T E 8 L 0 l 0 Z W 1 Q Y X R o P j w v S X R l b U x v Y 2 F 0 a W 9 u P j x T d G F i b G V F b n R y a W V z I C 8 + P C 9 J d G V t P j x J d G V t P j x J d G V t T G 9 j Y X R p b 2 4 + P E l 0 Z W 1 U e X B l P k Z v c m 1 1 b G E 8 L 0 l 0 Z W 1 U e X B l P j x J d G V t U G F 0 a D 5 T Z W N 0 a W 9 u M S 9 W b 2 9 y Y m V l b G R i Z X N 0 Y W 5 k J T I w d H J h b n N m b 3 J t Z X J l b i U y M C U y O D I l M j k v Q n J v b j w v S X R l b V B h d G g + P C 9 J d G V t T G 9 j Y X R p b 2 4 + P F N 0 Y W J s Z U V u d H J p Z X M g L z 4 8 L 0 l 0 Z W 0 + P E l 0 Z W 0 + P E l 0 Z W 1 M b 2 N h d G l v b j 4 8 S X R l b V R 5 c G U + R m 9 y b X V s Y T w v S X R l b V R 5 c G U + P E l 0 Z W 1 Q Y X R o P l N l Y 3 R p b 2 4 x L 1 Z v b 3 J i Z W V s Z G J l c 3 R h b m Q l M j B 0 c m F u c 2 Z v c m 1 l c m V u J T I w J T I 4 M i U y O S 9 I Z W F k Z X J z J T I w b W V 0 J T I w d m V y a G 9 v Z 2 Q l M j B u a X Z l Y X U 8 L 0 l 0 Z W 1 Q Y X R o P j w v S X R l b U x v Y 2 F 0 a W 9 u P j x T d G F i b G V F b n R y a W V z I C 8 + P C 9 J d G V t P j x J d G V t P j x J d G V t T G 9 j Y X R p b 2 4 + P E l 0 Z W 1 U e X B l P k Z v c m 1 1 b G E 8 L 0 l 0 Z W 1 U e X B l P j x J d G V t U G F 0 a D 5 T Z W N 0 a W 9 u M S 9 H S 1 Z J L 0 J y b 2 4 8 L 0 l 0 Z W 1 Q Y X R o P j w v S X R l b U x v Y 2 F 0 a W 9 u P j x T d G F i b G V F b n R y a W V z I C 8 + P C 9 J d G V t P j x J d G V t P j x J d G V t T G 9 j Y X R p b 2 4 + P E l 0 Z W 1 U e X B l P k Z v c m 1 1 b G E 8 L 0 l 0 Z W 1 U e X B l P j x J d G V t U G F 0 a D 5 T Z W N 0 a W 9 u M S 9 H S 1 Z J L 0 h l Y W R l c n M l M j B t Z X Q l M j B 2 Z X J o b 2 9 n Z C U y M G 5 p d m V h d T w v S X R l b V B h d G g + P C 9 J d G V t T G 9 j Y X R p b 2 4 + P F N 0 Y W J s Z U V u d H J p Z X M g L z 4 8 L 0 l 0 Z W 0 + P E l 0 Z W 0 + P E l 0 Z W 1 M b 2 N h d G l v b j 4 8 S X R l b V R 5 c G U + R m 9 y b X V s Y T w v S X R l b V R 5 c G U + P E l 0 Z W 1 Q Y X R o P l N l Y 3 R p b 2 4 x L 0 d L V k k v S 2 9 s b 2 1 t Z W 4 l M j B 2 Z X J 3 a W p k Z X J k P C 9 J d G V t U G F 0 a D 4 8 L 0 l 0 Z W 1 M b 2 N h d G l v b j 4 8 U 3 R h Y m x l R W 5 0 c m l l c y A v P j w v S X R l b T 4 8 S X R l b T 4 8 S X R l b U x v Y 2 F 0 a W 9 u P j x J d G V t V H l w Z T 5 G b 3 J t d W x h P C 9 J d G V t V H l w Z T 4 8 S X R l b V B h d G g + U 2 V j d G l v b j E v R 0 t W S S 9 O Y W 1 l b i U y M H Z h b i U y M G t v b G 9 t b W V u J T I w Z 2 V 3 a W p 6 a W d k P C 9 J d G V t U G F 0 a D 4 8 L 0 l 0 Z W 1 M b 2 N h d G l v b j 4 8 U 3 R h Y m x l R W 5 0 c m l l c y A v P j w v S X R l b T 4 8 S X R l b T 4 8 S X R l b U x v Y 2 F 0 a W 9 u P j x J d G V t V H l w Z T 5 G b 3 J t d W x h P C 9 J d G V t V H l w Z T 4 8 S X R l b V B h d G g + U 2 V j d G l v b j E v R 0 t W S S 9 L b 2 x v b W 1 l b i U y M H Z l c n d p a m R l c m Q x P C 9 J d G V t U G F 0 a D 4 8 L 0 l 0 Z W 1 M b 2 N h d G l v b j 4 8 U 3 R h Y m x l R W 5 0 c m l l c y A v P j w v S X R l b T 4 8 S X R l b T 4 8 S X R l b U x v Y 2 F 0 a W 9 u P j x J d G V t V H l w Z T 5 G b 3 J t d W x h P C 9 J d G V t V H l w Z T 4 8 S X R l b V B h d G g + U 2 V j d G l v b j E v R 0 t W S S 9 O Y W 1 l b i U y M H Z h b i U y M G t v b G 9 t b W V u J T I w Z 2 V 3 a W p 6 a W d k N D w v S X R l b V B h d G g + P C 9 J d G V t T G 9 j Y X R p b 2 4 + P F N 0 Y W J s Z U V u d H J p Z X M g L z 4 8 L 0 l 0 Z W 0 + P E l 0 Z W 0 + P E l 0 Z W 1 M b 2 N h d G l v b j 4 8 S X R l b V R 5 c G U + R m 9 y b X V s Y T w v S X R l b V R 5 c G U + P E l 0 Z W 1 Q Y X R o P l N l Y 3 R p b 2 4 x L 0 d L V k k v T m F t Z W 4 l M j B 2 Y W 4 l M j B r b 2 x v b W 1 l b i U y M G d l d 2 l q e m l n Z D U 8 L 0 l 0 Z W 1 Q Y X R o P j w v S X R l b U x v Y 2 F 0 a W 9 u P j x T d G F i b G V F b n R y a W V z I C 8 + P C 9 J d G V t P j x J d G V t P j x J d G V t T G 9 j Y X R p b 2 4 + P E l 0 Z W 1 U e X B l P k Z v c m 1 1 b G E 8 L 0 l 0 Z W 1 U e X B l P j x J d G V t U G F 0 a D 5 T Z W N 0 a W 9 u M S 9 H S 1 Z J L 0 5 h b W V u J T I w d m F u J T I w a 2 9 s b 2 1 t Z W 4 l M j B n Z X d p a n p p Z 2 Q 2 P C 9 J d G V t U G F 0 a D 4 8 L 0 l 0 Z W 1 M b 2 N h d G l v b j 4 8 U 3 R h Y m x l R W 5 0 c m l l c y A v P j w v S X R l b T 4 8 S X R l b T 4 8 S X R l b U x v Y 2 F 0 a W 9 u P j x J d G V t V H l w Z T 5 G b 3 J t d W x h P C 9 J d G V t V H l w Z T 4 8 S X R l b V B h d G g + U 2 V j d G l v b j E v R 0 t W S S 9 L b 2 x v b W 1 l b i U y M H Z l c n d p a m R l c m Q y P C 9 J d G V t U G F 0 a D 4 8 L 0 l 0 Z W 1 M b 2 N h d G l v b j 4 8 U 3 R h Y m x l R W 5 0 c m l l c y A v P j w v S X R l b T 4 8 S X R l b T 4 8 S X R l b U x v Y 2 F 0 a W 9 u P j x J d G V t V H l w Z T 5 G b 3 J t d W x h P C 9 J d G V t V H l w Z T 4 8 S X R l b V B h d G g + U 2 V j d G l v b j E v R 0 t W S S 9 O Y W 1 l b i U y M H Z h b i U y M G t v b G 9 t b W V u J T I w Z 2 V 3 a W p 6 a W d k N z w v S X R l b V B h d G g + P C 9 J d G V t T G 9 j Y X R p b 2 4 + P F N 0 Y W J s Z U V u d H J p Z X M g L z 4 8 L 0 l 0 Z W 0 + P E l 0 Z W 0 + P E l 0 Z W 1 M b 2 N h d G l v b j 4 8 S X R l b V R 5 c G U + R m 9 y b X V s Y T w v S X R l b V R 5 c G U + P E l 0 Z W 1 Q Y X R o P l N l Y 3 R p b 2 4 x L 0 d L V k k v T m F t Z W 4 l M j B 2 Y W 4 l M j B r b 2 x v b W 1 l b i U y M G d l d 2 l q e m l n Z D g 8 L 0 l 0 Z W 1 Q Y X R o P j w v S X R l b U x v Y 2 F 0 a W 9 u P j x T d G F i b G V F b n R y a W V z I C 8 + P C 9 J d G V t P j x J d G V t P j x J d G V t T G 9 j Y X R p b 2 4 + P E l 0 Z W 1 U e X B l P k Z v c m 1 1 b G E 8 L 0 l 0 Z W 1 U e X B l P j x J d G V t U G F 0 a D 5 T Z W N 0 a W 9 u M S 9 H S 1 Z J L 0 5 h b W V u J T I w d m F u J T I w a 2 9 s b 2 1 t Z W 4 l M j B n Z X d p a n p p Z 2 Q 5 P C 9 J d G V t U G F 0 a D 4 8 L 0 l 0 Z W 1 M b 2 N h d G l v b j 4 8 U 3 R h Y m x l R W 5 0 c m l l c y A v P j w v S X R l b T 4 8 S X R l b T 4 8 S X R l b U x v Y 2 F 0 a W 9 u P j x J d G V t V H l w Z T 5 G b 3 J t d W x h P C 9 J d G V t V H l w Z T 4 8 S X R l b V B h d G g + U 2 V j d G l v b j E v R 0 t W S S 9 O Y W 1 l b i U y M H Z h b i U y M G t v b G 9 t b W V u J T I w Z 2 V 3 a W p 6 a W d k M T M 8 L 0 l 0 Z W 1 Q Y X R o P j w v S X R l b U x v Y 2 F 0 a W 9 u P j x T d G F i b G V F b n R y a W V z I C 8 + P C 9 J d G V t P j x J d G V t P j x J d G V t T G 9 j Y X R p b 2 4 + P E l 0 Z W 1 U e X B l P k Z v c m 1 1 b G E 8 L 0 l 0 Z W 1 U e X B l P j x J d G V t U G F 0 a D 5 T Z W N 0 a W 9 u M S 9 H S 1 Z J L 1 J p a m V u J T I w Z 2 V z b 3 J 0 Z W V y Z D w v S X R l b V B h d G g + P C 9 J d G V t T G 9 j Y X R p b 2 4 + P F N 0 Y W J s Z U V u d H J p Z X M g L z 4 8 L 0 l 0 Z W 0 + P E l 0 Z W 0 + P E l 0 Z W 1 M b 2 N h d G l v b j 4 8 S X R l b V R 5 c G U + R m 9 y b X V s Y T w v S X R l b V R 5 c G U + P E l 0 Z W 1 Q Y X R o P l N l Y 3 R p b 2 4 x L 0 d L V k k v S 2 9 s b 2 1 t Z W 4 l M j B 2 Z X J 3 a W p k Z X J k M z w v S X R l b V B h d G g + P C 9 J d G V t T G 9 j Y X R p b 2 4 + P F N 0 Y W J s Z U V u d H J p Z X M g L z 4 8 L 0 l 0 Z W 0 + P E l 0 Z W 0 + P E l 0 Z W 1 M b 2 N h d G l v b j 4 8 S X R l b V R 5 c G U + R m 9 y b X V s Y T w v S X R l b V R 5 c G U + P E l 0 Z W 1 Q Y X R o P l N l Y 3 R p b 2 4 x L 0 d L V k k v T m F t Z W 4 l M j B 2 Y W 4 l M j B r b 2 x v b W 1 l b i U y M G d l d 2 l q e m l n Z D E 8 L 0 l 0 Z W 1 Q Y X R o P j w v S X R l b U x v Y 2 F 0 a W 9 u P j x T d G F i b G V F b n R y a W V z I C 8 + P C 9 J d G V t P j x J d G V t P j x J d G V t T G 9 j Y X R p b 2 4 + P E l 0 Z W 1 U e X B l P k Z v c m 1 1 b G E 8 L 0 l 0 Z W 1 U e X B l P j x J d G V t U G F 0 a D 5 T Z W N 0 a W 9 u M S 9 H S 1 Z J L 0 t v b G 9 t b W V u J T I w d m V y d 2 l q Z G V y Z D Q 8 L 0 l 0 Z W 1 Q Y X R o P j w v S X R l b U x v Y 2 F 0 a W 9 u P j x T d G F i b G V F b n R y a W V z I C 8 + P C 9 J d G V t P j x J d G V t P j x J d G V t T G 9 j Y X R p b 2 4 + P E l 0 Z W 1 U e X B l P k Z v c m 1 1 b G E 8 L 0 l 0 Z W 1 U e X B l P j x J d G V t U G F 0 a D 5 T Z W N 0 a W 9 u M S 9 H S 1 Z J L 0 5 h b W V u J T I w d m F u J T I w a 2 9 s b 2 1 t Z W 4 l M j B n Z X d p a n p p Z 2 Q x M D w v S X R l b V B h d G g + P C 9 J d G V t T G 9 j Y X R p b 2 4 + P F N 0 Y W J s Z U V u d H J p Z X M g L z 4 8 L 0 l 0 Z W 0 + P E l 0 Z W 0 + P E l 0 Z W 1 M b 2 N h d G l v b j 4 8 S X R l b V R 5 c G U + R m 9 y b X V s Y T w v S X R l b V R 5 c G U + P E l 0 Z W 1 Q Y X R o P l N l Y 3 R p b 2 4 x L 0 d L V k k v S 2 9 s b 2 1 t Z W 4 l M j B 2 Z X J 3 a W p k Z X J k N T w v S X R l b V B h d G g + P C 9 J d G V t T G 9 j Y X R p b 2 4 + P F N 0 Y W J s Z U V u d H J p Z X M g L z 4 8 L 0 l 0 Z W 0 + P E l 0 Z W 0 + P E l 0 Z W 1 M b 2 N h d G l v b j 4 8 S X R l b V R 5 c G U + R m 9 y b X V s Y T w v S X R l b V R 5 c G U + P E l 0 Z W 1 Q Y X R o P l N l Y 3 R p b 2 4 x L 0 J p Z W x l b W F u d H J l Z m Z l b i 9 C c m 9 u P C 9 J d G V t U G F 0 a D 4 8 L 0 l 0 Z W 1 M b 2 N h d G l v b j 4 8 U 3 R h Y m x l R W 5 0 c m l l c y A v P j w v S X R l b T 4 8 S X R l b T 4 8 S X R l b U x v Y 2 F 0 a W 9 u P j x J d G V t V H l w Z T 5 G b 3 J t d W x h P C 9 J d G V t V H l w Z T 4 8 S X R l b V B h d G g + U 2 V j d G l v b j E v Q m l l b G V t Y W 5 0 c m V m Z m V u L 1 R 5 c G U l M j B n Z X d p a n p p Z 2 Q 8 L 0 l 0 Z W 1 Q Y X R o P j w v S X R l b U x v Y 2 F 0 a W 9 u P j x T d G F i b G V F b n R y a W V z I C 8 + P C 9 J d G V t P j x J d G V t P j x J d G V t T G 9 j Y X R p b 2 4 + P E l 0 Z W 1 U e X B l P k Z v c m 1 1 b G E 8 L 0 l 0 Z W 1 U e X B l P j x J d G V t U G F 0 a D 5 T Z W N 0 a W 9 u M S 9 C a W V s Z W 1 h b n R y Z W Z m Z W 4 v S G V h Z G V y c y U y M G 1 l d C U y M H Z l c m h v b 2 d k J T I w b m l 2 Z W F 1 P C 9 J d G V t U G F 0 a D 4 8 L 0 l 0 Z W 1 M b 2 N h d G l v b j 4 8 U 3 R h Y m x l R W 5 0 c m l l c y A v P j w v S X R l b T 4 8 S X R l b T 4 8 S X R l b U x v Y 2 F 0 a W 9 u P j x J d G V t V H l w Z T 5 G b 3 J t d W x h P C 9 J d G V t V H l w Z T 4 8 S X R l b V B h d G g + U 2 V j d G l v b j E v Q m l l b G V t Y W 5 0 c m V m Z m V u L 0 5 h b W V u J T I w d m F u J T I w a 2 9 s b 2 1 t Z W 4 l M j B n Z X d p a n p p Z 2 Q 8 L 0 l 0 Z W 1 Q Y X R o P j w v S X R l b U x v Y 2 F 0 a W 9 u P j x T d G F i b G V F b n R y a W V z I C 8 + P C 9 J d G V t P j x J d G V t P j x J d G V t T G 9 j Y X R p b 2 4 + P E l 0 Z W 1 U e X B l P k Z v c m 1 1 b G E 8 L 0 l 0 Z W 1 U e X B l P j x J d G V t U G F 0 a D 5 T Z W N 0 a W 9 u M S 9 C a W V s Z W 1 h b n R y Z W Z m Z W 4 v U m l q Z W 4 l M j B n Z X N v c n R l Z X J k P C 9 J d G V t U G F 0 a D 4 8 L 0 l 0 Z W 1 M b 2 N h d G l v b j 4 8 U 3 R h Y m x l R W 5 0 c m l l c y A v P j w v S X R l b T 4 8 S X R l b T 4 8 S X R l b U x v Y 2 F 0 a W 9 u P j x J d G V t V H l w Z T 5 G b 3 J t d W x h P C 9 J d G V t V H l w Z T 4 8 S X R l b V B h d G g + U 2 V j d G l v b j E v Q m l l b G V t Y W 5 0 c m V m Z m V u L 1 Z v b G d v c m R l J T I w d m F u J T I w a 2 9 s b 2 1 t Z W 4 l M j B n Z X d p a n p p Z 2 Q 8 L 0 l 0 Z W 1 Q Y X R o P j w v S X R l b U x v Y 2 F 0 a W 9 u P j x T d G F i b G V F b n R y a W V z I C 8 + P C 9 J d G V t P j x J d G V t P j x J d G V t T G 9 j Y X R p b 2 4 + P E l 0 Z W 1 U e X B l P k Z v c m 1 1 b G E 8 L 0 l 0 Z W 1 U e X B l P j x J d G V t U G F 0 a D 5 T Z W N 0 a W 9 u M S 9 M S i 9 C c m 9 u P C 9 J d G V t U G F 0 a D 4 8 L 0 l 0 Z W 1 M b 2 N h d G l v b j 4 8 U 3 R h Y m x l R W 5 0 c m l l c y A v P j w v S X R l b T 4 8 S X R l b T 4 8 S X R l b U x v Y 2 F 0 a W 9 u P j x J d G V t V H l w Z T 5 G b 3 J t d W x h P C 9 J d G V t V H l w Z T 4 8 S X R l b V B h d G g + U 2 V j d G l v b j E v T E o v V H l w Z S U y M G d l d 2 l q e m l n Z D w v S X R l b V B h d G g + P C 9 J d G V t T G 9 j Y X R p b 2 4 + P F N 0 Y W J s Z U V u d H J p Z X M g L z 4 8 L 0 l 0 Z W 0 + P E l 0 Z W 0 + P E l 0 Z W 1 M b 2 N h d G l v b j 4 8 S X R l b V R 5 c G U + R m 9 y b X V s Y T w v S X R l b V R 5 c G U + P E l 0 Z W 1 Q Y X R o P l N l Y 3 R p b 2 4 x L 0 x K L 0 h l Y W R l c n M l M j B t Z X Q l M j B 2 Z X J o b 2 9 n Z C U y M G 5 p d m V h d T w v S X R l b V B h d G g + P C 9 J d G V t T G 9 j Y X R p b 2 4 + P F N 0 Y W J s Z U V u d H J p Z X M g L z 4 8 L 0 l 0 Z W 0 + P E l 0 Z W 0 + P E l 0 Z W 1 M b 2 N h d G l v b j 4 8 S X R l b V R 5 c G U + R m 9 y b X V s Y T w v S X R l b V R 5 c G U + P E l 0 Z W 1 Q Y X R o P l N l Y 3 R p b 2 4 x L 0 x K L 0 t v b G 9 t b W V u J T I w d m V y d 2 l q Z G V y Z D w v S X R l b V B h d G g + P C 9 J d G V t T G 9 j Y X R p b 2 4 + P F N 0 Y W J s Z U V u d H J p Z X M g L z 4 8 L 0 l 0 Z W 0 + P E l 0 Z W 0 + P E l 0 Z W 1 M b 2 N h d G l v b j 4 8 S X R l b V R 5 c G U + R m 9 y b X V s Y T w v S X R l b V R 5 c G U + P E l 0 Z W 1 Q Y X R o P l N l Y 3 R p b 2 4 x L 0 x K L 1 Z v b G d v c m R l J T I w d m F u J T I w a 2 9 s b 2 1 t Z W 4 l M j B n Z X d p a n p p Z 2 Q 8 L 0 l 0 Z W 1 Q Y X R o P j w v S X R l b U x v Y 2 F 0 a W 9 u P j x T d G F i b G V F b n R y a W V z I C 8 + P C 9 J d G V t P j x J d G V t P j x J d G V t T G 9 j Y X R p b 2 4 + P E l 0 Z W 1 U e X B l P k Z v c m 1 1 b G E 8 L 0 l 0 Z W 1 U e X B l P j x J d G V t U G F 0 a D 5 T Z W N 0 a W 9 u M S 9 M S i 9 O Y W 1 l b i U y M H Z h b i U y M G t v b G 9 t b W V u J T I w Z 2 V 3 a W p 6 a W d k P C 9 J d G V t U G F 0 a D 4 8 L 0 l 0 Z W 1 M b 2 N h d G l v b j 4 8 U 3 R h Y m x l R W 5 0 c m l l c y A v P j w v S X R l b T 4 8 S X R l b T 4 8 S X R l b U x v Y 2 F 0 a W 9 u P j x J d G V t V H l w Z T 5 G b 3 J t d W x h P C 9 J d G V t V H l w Z T 4 8 S X R l b V B h d G g + U 2 V j d G l v b j E v T E o v V 2 F h c m R l J T I w d m V y d m F u Z 2 V u P C 9 J d G V t U G F 0 a D 4 8 L 0 l 0 Z W 1 M b 2 N h d G l v b j 4 8 U 3 R h Y m x l R W 5 0 c m l l c y A v P j w v S X R l b T 4 8 S X R l b T 4 8 S X R l b U x v Y 2 F 0 a W 9 u P j x J d G V t V H l w Z T 5 G b 3 J t d W x h P C 9 J d G V t V H l w Z T 4 8 S X R l b V B h d G g + U 2 V j d G l v b j E v T E o v V 2 F h c m R l J T I w d m V y d m F u Z 2 V u M T w v S X R l b V B h d G g + P C 9 J d G V t T G 9 j Y X R p b 2 4 + P F N 0 Y W J s Z U V u d H J p Z X M g L z 4 8 L 0 l 0 Z W 0 + P E l 0 Z W 0 + P E l 0 Z W 1 M b 2 N h d G l v b j 4 8 S X R l b V R 5 c G U + R m 9 y b X V s Y T w v S X R l b V R 5 c G U + P E l 0 Z W 1 Q Y X R o P l N l Y 3 R p b 2 4 x L 0 x K L 0 5 h b W V u J T I w d m F u J T I w a 2 9 s b 2 1 t Z W 4 l M j B n Z X d p a n p p Z 2 Q x P C 9 J d G V t U G F 0 a D 4 8 L 0 l 0 Z W 1 M b 2 N h d G l v b j 4 8 U 3 R h Y m x l R W 5 0 c m l l c y A v P j w v S X R l b T 4 8 S X R l b T 4 8 S X R l b U x v Y 2 F 0 a W 9 u P j x J d G V t V H l w Z T 5 G b 3 J t d W x h P C 9 J d G V t V H l w Z T 4 8 S X R l b V B h d G g + U 2 V j d G l v b j E v T E o v V 2 F h c m R l J T I w d m V y d m F u Z 2 V u M j w v S X R l b V B h d G g + P C 9 J d G V t T G 9 j Y X R p b 2 4 + P F N 0 Y W J s Z U V u d H J p Z X M g L z 4 8 L 0 l 0 Z W 0 + P E l 0 Z W 0 + P E l 0 Z W 1 M b 2 N h d G l v b j 4 8 S X R l b V R 5 c G U + R m 9 y b X V s Y T w v S X R l b V R 5 c G U + P E l 0 Z W 1 Q Y X R o P l N l Y 3 R p b 2 4 x L 0 x K L 1 d h Y X J k Z S U y M H Z l c n Z h b m d l b j M 8 L 0 l 0 Z W 1 Q Y X R o P j w v S X R l b U x v Y 2 F 0 a W 9 u P j x T d G F i b G V F b n R y a W V z I C 8 + P C 9 J d G V t P j x J d G V t P j x J d G V t T G 9 j Y X R p b 2 4 + P E l 0 Z W 1 U e X B l P k Z v c m 1 1 b G E 8 L 0 l 0 Z W 1 U e X B l P j x J d G V t U G F 0 a D 5 T Z W N 0 a W 9 u M S 9 M S i 9 O Y W 1 l b i U y M H Z h b i U y M G t v b G 9 t b W V u J T I w Z 2 V 3 a W p 6 a W d k M j w v S X R l b V B h d G g + P C 9 J d G V t T G 9 j Y X R p b 2 4 + P F N 0 Y W J s Z U V u d H J p Z X M g L z 4 8 L 0 l 0 Z W 0 + P E l 0 Z W 0 + P E l 0 Z W 1 M b 2 N h d G l v b j 4 8 S X R l b V R 5 c G U + R m 9 y b X V s Y T w v S X R l b V R 5 c G U + P E l 0 Z W 1 Q Y X R o P l N l Y 3 R p b 2 4 x L 0 x K L 1 d h Y X J k Z S U y M H Z l c n Z h b m d l b j Q 8 L 0 l 0 Z W 1 Q Y X R o P j w v S X R l b U x v Y 2 F 0 a W 9 u P j x T d G F i b G V F b n R y a W V z I C 8 + P C 9 J d G V t P j x J d G V t P j x J d G V t T G 9 j Y X R p b 2 4 + P E l 0 Z W 1 U e X B l P k Z v c m 1 1 b G E 8 L 0 l 0 Z W 1 U e X B l P j x J d G V t U G F 0 a D 5 T Z W N 0 a W 9 u M S 9 M S i 9 X Y W F y Z G U l M j B 2 Z X J 2 Y W 5 n Z W 4 1 P C 9 J d G V t U G F 0 a D 4 8 L 0 l 0 Z W 1 M b 2 N h d G l v b j 4 8 U 3 R h Y m x l R W 5 0 c m l l c y A v P j w v S X R l b T 4 8 S X R l b T 4 8 S X R l b U x v Y 2 F 0 a W 9 u P j x J d G V t V H l w Z T 5 G b 3 J t d W x h P C 9 J d G V t V H l w Z T 4 8 S X R l b V B h d G g + U 2 V j d G l v b j E v T E o v S 2 9 s b 2 0 l M j B z c G x p d H N l b i U y M G 9 w J T I w c 2 N o Z W l k a W 5 n c 3 R l a 2 V u P C 9 J d G V t U G F 0 a D 4 8 L 0 l 0 Z W 1 M b 2 N h d G l v b j 4 8 U 3 R h Y m x l R W 5 0 c m l l c y A v P j w v S X R l b T 4 8 S X R l b T 4 8 S X R l b U x v Y 2 F 0 a W 9 u P j x J d G V t V H l w Z T 5 G b 3 J t d W x h P C 9 J d G V t V H l w Z T 4 8 S X R l b V B h d G g + U 2 V j d G l v b j E v T E o v T m F t Z W 4 l M j B 2 Y W 4 l M j B r b 2 x v b W 1 l b i U y M G d l d 2 l q e m l n Z D M 8 L 0 l 0 Z W 1 Q Y X R o P j w v S X R l b U x v Y 2 F 0 a W 9 u P j x T d G F i b G V F b n R y a W V z I C 8 + P C 9 J d G V t P j x J d G V t P j x J d G V t T G 9 j Y X R p b 2 4 + P E l 0 Z W 1 U e X B l P k Z v c m 1 1 b G E 8 L 0 l 0 Z W 1 U e X B l P j x J d G V t U G F 0 a D 5 T Z W N 0 a W 9 u M S 9 M S i 9 X Y W F y Z G U l M j B 2 Z X J 2 Y W 5 n Z W 4 2 P C 9 J d G V t U G F 0 a D 4 8 L 0 l 0 Z W 1 M b 2 N h d G l v b j 4 8 U 3 R h Y m x l R W 5 0 c m l l c y A v P j w v S X R l b T 4 8 S X R l b T 4 8 S X R l b U x v Y 2 F 0 a W 9 u P j x J d G V t V H l w Z T 5 G b 3 J t d W x h P C 9 J d G V t V H l w Z T 4 8 S X R l b V B h d G g + U 2 V j d G l v b j E v T E o v T m F t Z W 4 l M j B 2 Y W 4 l M j B r b 2 x v b W 1 l b i U y M G d l d 2 l q e m l n Z D Q 8 L 0 l 0 Z W 1 Q Y X R o P j w v S X R l b U x v Y 2 F 0 a W 9 u P j x T d G F i b G V F b n R y a W V z I C 8 + P C 9 J d G V t P j x J d G V t P j x J d G V t T G 9 j Y X R p b 2 4 + P E l 0 Z W 1 U e X B l P k Z v c m 1 1 b G E 8 L 0 l 0 Z W 1 U e X B l P j x J d G V t U G F 0 a D 5 T Z W N 0 a W 9 u M S 9 M S i 9 X Y W F y Z G U l M j B 2 Z X J 2 Y W 5 n Z W 4 3 P C 9 J d G V t U G F 0 a D 4 8 L 0 l 0 Z W 1 M b 2 N h d G l v b j 4 8 U 3 R h Y m x l R W 5 0 c m l l c y A v P j w v S X R l b T 4 8 S X R l b T 4 8 S X R l b U x v Y 2 F 0 a W 9 u P j x J d G V t V H l w Z T 5 G b 3 J t d W x h P C 9 J d G V t V H l w Z T 4 8 S X R l b V B h d G g + U 2 V j d G l v b j E v T E o v V 2 F h c m R l J T I w d m V y d m F u Z 2 V u O D w v S X R l b V B h d G g + P C 9 J d G V t T G 9 j Y X R p b 2 4 + P F N 0 Y W J s Z U V u d H J p Z X M g L z 4 8 L 0 l 0 Z W 0 + P E l 0 Z W 0 + P E l 0 Z W 1 M b 2 N h d G l v b j 4 8 S X R l b V R 5 c G U + R m 9 y b X V s Y T w v S X R l b V R 5 c G U + P E l 0 Z W 1 Q Y X R o P l N l Y 3 R p b 2 4 x L 0 x K L 1 d h Y X J k Z S U y M H Z l c n Z h b m d l b j k 8 L 0 l 0 Z W 1 Q Y X R o P j w v S X R l b U x v Y 2 F 0 a W 9 u P j x T d G F i b G V F b n R y a W V z I C 8 + P C 9 J d G V t P j x J d G V t P j x J d G V t T G 9 j Y X R p b 2 4 + P E l 0 Z W 1 U e X B l P k Z v c m 1 1 b G E 8 L 0 l 0 Z W 1 U e X B l P j x J d G V t U G F 0 a D 5 T Z W N 0 a W 9 u M S 9 M S i 9 O Y W 1 l b i U y M H Z h b i U y M G t v b G 9 t b W V u J T I w Z 2 V 3 a W p 6 a W d k N T w v S X R l b V B h d G g + P C 9 J d G V t T G 9 j Y X R p b 2 4 + P F N 0 Y W J s Z U V u d H J p Z X M g L z 4 8 L 0 l 0 Z W 0 + P E l 0 Z W 0 + P E l 0 Z W 1 M b 2 N h d G l v b j 4 8 S X R l b V R 5 c G U + R m 9 y b X V s Y T w v S X R l b V R 5 c G U + P E l 0 Z W 1 Q Y X R o P l N l Y 3 R p b 2 4 x L 0 x K L 1 d h Y X J k Z S U y M H Z l c n Z h b m d l b j I x P C 9 J d G V t U G F 0 a D 4 8 L 0 l 0 Z W 1 M b 2 N h d G l v b j 4 8 U 3 R h Y m x l R W 5 0 c m l l c y A v P j w v S X R l b T 4 8 S X R l b T 4 8 S X R l b U x v Y 2 F 0 a W 9 u P j x J d G V t V H l w Z T 5 G b 3 J t d W x h P C 9 J d G V t V H l w Z T 4 8 S X R l b V B h d G g + U 2 V j d G l v b j E v T E o v V 2 F h c m R l J T I w d m V y d m F u Z 2 V u M j I 8 L 0 l 0 Z W 1 Q Y X R o P j w v S X R l b U x v Y 2 F 0 a W 9 u P j x T d G F i b G V F b n R y a W V z I C 8 + P C 9 J d G V t P j x J d G V t P j x J d G V t T G 9 j Y X R p b 2 4 + P E l 0 Z W 1 U e X B l P k Z v c m 1 1 b G E 8 L 0 l 0 Z W 1 U e X B l P j x J d G V t U G F 0 a D 5 T Z W N 0 a W 9 u M S 9 M S i 9 X Y W F y Z G U l M j B 2 Z X J 2 Y W 5 n Z W 4 y M z w v S X R l b V B h d G g + P C 9 J d G V t T G 9 j Y X R p b 2 4 + P F N 0 Y W J s Z U V u d H J p Z X M g L z 4 8 L 0 l 0 Z W 0 + P E l 0 Z W 0 + P E l 0 Z W 1 M b 2 N h d G l v b j 4 8 S X R l b V R 5 c G U + R m 9 y b X V s Y T w v S X R l b V R 5 c G U + P E l 0 Z W 1 Q Y X R o P l N l Y 3 R p b 2 4 x L 0 x K L 1 d h Y X J k Z S U y M H Z l c n Z h b m d l b j I 0 P C 9 J d G V t U G F 0 a D 4 8 L 0 l 0 Z W 1 M b 2 N h d G l v b j 4 8 U 3 R h Y m x l R W 5 0 c m l l c y A v P j w v S X R l b T 4 8 S X R l b T 4 8 S X R l b U x v Y 2 F 0 a W 9 u P j x J d G V t V H l w Z T 5 G b 3 J t d W x h P C 9 J d G V t V H l w Z T 4 8 S X R l b V B h d G g + U 2 V j d G l v b j E v T E o v V 2 F h c m R l J T I w d m V y d m F u Z 2 V u M j U 8 L 0 l 0 Z W 1 Q Y X R o P j w v S X R l b U x v Y 2 F 0 a W 9 u P j x T d G F i b G V F b n R y a W V z I C 8 + P C 9 J d G V t P j x J d G V t P j x J d G V t T G 9 j Y X R p b 2 4 + P E l 0 Z W 1 U e X B l P k Z v c m 1 1 b G E 8 L 0 l 0 Z W 1 U e X B l P j x J d G V t U G F 0 a D 5 T Z W N 0 a W 9 u M S 9 M S i 9 O Y W 1 l b i U y M H Z h b i U y M G t v b G 9 t b W V u J T I w Z 2 V 3 a W p 6 a W d k M T E 8 L 0 l 0 Z W 1 Q Y X R o P j w v S X R l b U x v Y 2 F 0 a W 9 u P j x T d G F i b G V F b n R y a W V z I C 8 + P C 9 J d G V t P j x J d G V t P j x J d G V t T G 9 j Y X R p b 2 4 + P E l 0 Z W 1 U e X B l P k Z v c m 1 1 b G E 8 L 0 l 0 Z W 1 U e X B l P j x J d G V t U G F 0 a D 5 T Z W N 0 a W 9 u M S 9 M S i 9 X Y W F y Z G U l M j B 2 Z X J 2 Y W 5 n Z W 4 y N j w v S X R l b V B h d G g + P C 9 J d G V t T G 9 j Y X R p b 2 4 + P F N 0 Y W J s Z U V u d H J p Z X M g L z 4 8 L 0 l 0 Z W 0 + P E l 0 Z W 0 + P E l 0 Z W 1 M b 2 N h d G l v b j 4 8 S X R l b V R 5 c G U + R m 9 y b X V s Y T w v S X R l b V R 5 c G U + P E l 0 Z W 1 Q Y X R o P l N l Y 3 R p b 2 4 x L 0 x K L 1 d h Y X J k Z S U y M H Z l c n Z h b m d l b j I 3 P C 9 J d G V t U G F 0 a D 4 8 L 0 l 0 Z W 1 M b 2 N h d G l v b j 4 8 U 3 R h Y m x l R W 5 0 c m l l c y A v P j w v S X R l b T 4 8 S X R l b T 4 8 S X R l b U x v Y 2 F 0 a W 9 u P j x J d G V t V H l w Z T 5 G b 3 J t d W x h P C 9 J d G V t V H l w Z T 4 8 S X R l b V B h d G g + U 2 V j d G l v b j E v T E o v T m F t Z W 4 l M j B 2 Y W 4 l M j B r b 2 x v b W 1 l b i U y M G d l d 2 l q e m l n Z D E y P C 9 J d G V t U G F 0 a D 4 8 L 0 l 0 Z W 1 M b 2 N h d G l v b j 4 8 U 3 R h Y m x l R W 5 0 c m l l c y A v P j w v S X R l b T 4 8 S X R l b T 4 8 S X R l b U x v Y 2 F 0 a W 9 u P j x J d G V t V H l w Z T 5 G b 3 J t d W x h P C 9 J d G V t V H l w Z T 4 8 S X R l b V B h d G g + U 2 V j d G l v b j E v T E o v V 2 F h c m R l J T I w d m V y d m F u Z 2 V u M j g 8 L 0 l 0 Z W 1 Q Y X R o P j w v S X R l b U x v Y 2 F 0 a W 9 u P j x T d G F i b G V F b n R y a W V z I C 8 + P C 9 J d G V t P j x J d G V t P j x J d G V t T G 9 j Y X R p b 2 4 + P E l 0 Z W 1 U e X B l P k Z v c m 1 1 b G E 8 L 0 l 0 Z W 1 U e X B l P j x J d G V t U G F 0 a D 5 T Z W N 0 a W 9 u M S 9 M S i 9 X Y W F y Z G U l M j B 2 Z X J 2 Y W 5 n Z W 4 y O T w v S X R l b V B h d G g + P C 9 J d G V t T G 9 j Y X R p b 2 4 + P F N 0 Y W J s Z U V u d H J p Z X M g L z 4 8 L 0 l 0 Z W 0 + P E l 0 Z W 0 + P E l 0 Z W 1 M b 2 N h d G l v b j 4 8 S X R l b V R 5 c G U + R m 9 y b X V s Y T w v S X R l b V R 5 c G U + P E l 0 Z W 1 Q Y X R o P l N l Y 3 R p b 2 4 x L 0 x K L 0 5 h b W V u J T I w d m F u J T I w a 2 9 s b 2 1 t Z W 4 l M j B n Z X d p a n p p Z 2 Q x M z w v S X R l b V B h d G g + P C 9 J d G V t T G 9 j Y X R p b 2 4 + P F N 0 Y W J s Z U V u d H J p Z X M g L z 4 8 L 0 l 0 Z W 0 + P E l 0 Z W 0 + P E l 0 Z W 1 M b 2 N h d G l v b j 4 8 S X R l b V R 5 c G U + R m 9 y b X V s Y T w v S X R l b V R 5 c G U + P E l 0 Z W 1 Q Y X R o P l N l Y 3 R p b 2 4 x L 0 x K L 1 Z v b G d v c m R l J T I w d m F u J T I w a 2 9 s b 2 1 t Z W 4 l M j B n Z X d p a n p p Z 2 Q x P C 9 J d G V t U G F 0 a D 4 8 L 0 l 0 Z W 1 M b 2 N h d G l v b j 4 8 U 3 R h Y m x l R W 5 0 c m l l c y A v P j w v S X R l b T 4 8 S X R l b T 4 8 S X R l b U x v Y 2 F 0 a W 9 u P j x J d G V t V H l w Z T 5 G b 3 J t d W x h P C 9 J d G V t V H l w Z T 4 8 S X R l b V B h d G g + U 2 V j d G l v b j E v T E o v V 2 F h c m R l J T I w d m V y d m F u Z 2 V u M z A 8 L 0 l 0 Z W 1 Q Y X R o P j w v S X R l b U x v Y 2 F 0 a W 9 u P j x T d G F i b G V F b n R y a W V z I C 8 + P C 9 J d G V t P j x J d G V t P j x J d G V t T G 9 j Y X R p b 2 4 + P E l 0 Z W 1 U e X B l P k Z v c m 1 1 b G E 8 L 0 l 0 Z W 1 U e X B l P j x J d G V t U G F 0 a D 5 T Z W N 0 a W 9 u M S 9 M S i 9 X Y W F y Z G U l M j B 2 Z X J 2 Y W 5 n Z W 4 z M T w v S X R l b V B h d G g + P C 9 J d G V t T G 9 j Y X R p b 2 4 + P F N 0 Y W J s Z U V u d H J p Z X M g L z 4 8 L 0 l 0 Z W 0 + P E l 0 Z W 0 + P E l 0 Z W 1 M b 2 N h d G l v b j 4 8 S X R l b V R 5 c G U + R m 9 y b X V s Y T w v S X R l b V R 5 c G U + P E l 0 Z W 1 Q Y X R o P l N l Y 3 R p b 2 4 x L 0 x K L 0 5 h b W V u J T I w d m F u J T I w a 2 9 s b 2 1 t Z W 4 l M j B n Z X d p a n p p Z 2 Q x N D w v S X R l b V B h d G g + P C 9 J d G V t T G 9 j Y X R p b 2 4 + P F N 0 Y W J s Z U V u d H J p Z X M g L z 4 8 L 0 l 0 Z W 0 + P E l 0 Z W 0 + P E l 0 Z W 1 M b 2 N h d G l v b j 4 8 S X R l b V R 5 c G U + R m 9 y b X V s Y T w v S X R l b V R 5 c G U + P E l 0 Z W 1 Q Y X R o P l N l Y 3 R p b 2 4 x L 0 x K L 1 Z v b G d v c m R l J T I w d m F u J T I w a 2 9 s b 2 1 t Z W 4 l M j B n Z X d p a n p p Z 2 Q y P C 9 J d G V t U G F 0 a D 4 8 L 0 l 0 Z W 1 M b 2 N h d G l v b j 4 8 U 3 R h Y m x l R W 5 0 c m l l c y A v P j w v S X R l b T 4 8 S X R l b T 4 8 S X R l b U x v Y 2 F 0 a W 9 u P j x J d G V t V H l w Z T 5 G b 3 J t d W x h P C 9 J d G V t V H l w Z T 4 8 S X R l b V B h d G g + U 2 V j d G l v b j E v T E o v T m F t Z W 4 l M j B 2 Y W 4 l M j B r b 2 x v b W 1 l b i U y M G d l d 2 l q e m l n Z D E 1 P C 9 J d G V t U G F 0 a D 4 8 L 0 l 0 Z W 1 M b 2 N h d G l v b j 4 8 U 3 R h Y m x l R W 5 0 c m l l c y A v P j w v S X R l b T 4 8 S X R l b T 4 8 S X R l b U x v Y 2 F 0 a W 9 u P j x J d G V t V H l w Z T 5 G b 3 J t d W x h P C 9 J d G V t V H l w Z T 4 8 S X R l b V B h d G g + U 2 V j d G l v b j E v T E o v V 2 F h c m R l J T I w d m V y d m F u Z 2 V u M z I 8 L 0 l 0 Z W 1 Q Y X R o P j w v S X R l b U x v Y 2 F 0 a W 9 u P j x T d G F i b G V F b n R y a W V z I C 8 + P C 9 J d G V t P j x J d G V t P j x J d G V t T G 9 j Y X R p b 2 4 + P E l 0 Z W 1 U e X B l P k Z v c m 1 1 b G E 8 L 0 l 0 Z W 1 U e X B l P j x J d G V t U G F 0 a D 5 T Z W N 0 a W 9 u M S 9 M S i 9 X Y W F y Z G U l M j B 2 Z X J 2 Y W 5 n Z W 4 z M z w v S X R l b V B h d G g + P C 9 J d G V t T G 9 j Y X R p b 2 4 + P F N 0 Y W J s Z U V u d H J p Z X M g L z 4 8 L 0 l 0 Z W 0 + P E l 0 Z W 0 + P E l 0 Z W 1 M b 2 N h d G l v b j 4 8 S X R l b V R 5 c G U + R m 9 y b X V s Y T w v S X R l b V R 5 c G U + P E l 0 Z W 1 Q Y X R o P l N l Y 3 R p b 2 4 x L 0 x K L 0 5 h b W V u J T I w d m F u J T I w a 2 9 s b 2 1 t Z W 4 l M j B n Z X d p a n p p Z 2 Q x N j w v S X R l b V B h d G g + P C 9 J d G V t T G 9 j Y X R p b 2 4 + P F N 0 Y W J s Z U V u d H J p Z X M g L z 4 8 L 0 l 0 Z W 0 + P E l 0 Z W 0 + P E l 0 Z W 1 M b 2 N h d G l v b j 4 8 S X R l b V R 5 c G U + R m 9 y b X V s Y T w v S X R l b V R 5 c G U + P E l 0 Z W 1 Q Y X R o P l N l Y 3 R p b 2 4 x L 0 x K L 1 d h Y X J k Z S U y M H Z l c n Z h b m d l b j M 0 P C 9 J d G V t U G F 0 a D 4 8 L 0 l 0 Z W 1 M b 2 N h d G l v b j 4 8 U 3 R h Y m x l R W 5 0 c m l l c y A v P j w v S X R l b T 4 8 S X R l b T 4 8 S X R l b U x v Y 2 F 0 a W 9 u P j x J d G V t V H l w Z T 5 G b 3 J t d W x h P C 9 J d G V t V H l w Z T 4 8 S X R l b V B h d G g + U 2 V j d G l v b j E v T E o v V 2 F h c m R l J T I w d m V y d m F u Z 2 V u M z U 8 L 0 l 0 Z W 1 Q Y X R o P j w v S X R l b U x v Y 2 F 0 a W 9 u P j x T d G F i b G V F b n R y a W V z I C 8 + P C 9 J d G V t P j x J d G V t P j x J d G V t T G 9 j Y X R p b 2 4 + P E l 0 Z W 1 U e X B l P k Z v c m 1 1 b G E 8 L 0 l 0 Z W 1 U e X B l P j x J d G V t U G F 0 a D 5 T Z W N 0 a W 9 u M S 9 M S i 9 O Y W 1 l b i U y M H Z h b i U y M G t v b G 9 t b W V u J T I w Z 2 V 3 a W p 6 a W d k M T c 8 L 0 l 0 Z W 1 Q Y X R o P j w v S X R l b U x v Y 2 F 0 a W 9 u P j x T d G F i b G V F b n R y a W V z I C 8 + P C 9 J d G V t P j x J d G V t P j x J d G V t T G 9 j Y X R p b 2 4 + P E l 0 Z W 1 U e X B l P k Z v c m 1 1 b G E 8 L 0 l 0 Z W 1 U e X B l P j x J d G V t U G F 0 a D 5 T Z W N 0 a W 9 u M S 9 M S i 9 X Y W F y Z G U l M j B 2 Z X J 2 Y W 5 n Z W 4 z N j w v S X R l b V B h d G g + P C 9 J d G V t T G 9 j Y X R p b 2 4 + P F N 0 Y W J s Z U V u d H J p Z X M g L z 4 8 L 0 l 0 Z W 0 + P E l 0 Z W 0 + P E l 0 Z W 1 M b 2 N h d G l v b j 4 8 S X R l b V R 5 c G U + R m 9 y b X V s Y T w v S X R l b V R 5 c G U + P E l 0 Z W 1 Q Y X R o P l N l Y 3 R p b 2 4 x L 0 x K L 1 d h Y X J k Z S U y M H Z l c n Z h b m d l b j M 3 P C 9 J d G V t U G F 0 a D 4 8 L 0 l 0 Z W 1 M b 2 N h d G l v b j 4 8 U 3 R h Y m x l R W 5 0 c m l l c y A v P j w v S X R l b T 4 8 S X R l b T 4 8 S X R l b U x v Y 2 F 0 a W 9 u P j x J d G V t V H l w Z T 5 G b 3 J t d W x h P C 9 J d G V t V H l w Z T 4 8 S X R l b V B h d G g + U 2 V j d G l v b j E v T E o v V 2 F h c m R l J T I w d m V y d m F u Z 2 V u M z g 8 L 0 l 0 Z W 1 Q Y X R o P j w v S X R l b U x v Y 2 F 0 a W 9 u P j x T d G F i b G V F b n R y a W V z I C 8 + P C 9 J d G V t P j x J d G V t P j x J d G V t T G 9 j Y X R p b 2 4 + P E l 0 Z W 1 U e X B l P k Z v c m 1 1 b G E 8 L 0 l 0 Z W 1 U e X B l P j x J d G V t U G F 0 a D 5 T Z W N 0 a W 9 u M S 9 M S i 9 L b 2 x v b W 1 l b i U y M H N h b W V u Z 2 V 2 b 2 V n Z D w v S X R l b V B h d G g + P C 9 J d G V t T G 9 j Y X R p b 2 4 + P F N 0 Y W J s Z U V u d H J p Z X M g L z 4 8 L 0 l 0 Z W 0 + P E l 0 Z W 0 + P E l 0 Z W 1 M b 2 N h d G l v b j 4 8 S X R l b V R 5 c G U + R m 9 y b X V s Y T w v S X R l b V R 5 c G U + P E l 0 Z W 1 Q Y X R o P l N l Y 3 R p b 2 4 x L 0 x K L 0 t v b G 9 t b W V u J T I w c 2 F t Z W 5 n Z X Z v Z W d k M T w v S X R l b V B h d G g + P C 9 J d G V t T G 9 j Y X R p b 2 4 + P F N 0 Y W J s Z U V u d H J p Z X M g L z 4 8 L 0 l 0 Z W 0 + P E l 0 Z W 0 + P E l 0 Z W 1 M b 2 N h d G l v b j 4 8 S X R l b V R 5 c G U + R m 9 y b X V s Y T w v S X R l b V R 5 c G U + P E l 0 Z W 1 Q Y X R o P l N l Y 3 R p b 2 4 x L 0 x K L 0 t v b G 9 t b W V u J T I w c 2 F t Z W 5 n Z X Z v Z W d k M j w v S X R l b V B h d G g + P C 9 J d G V t T G 9 j Y X R p b 2 4 + P F N 0 Y W J s Z U V u d H J p Z X M g L z 4 8 L 0 l 0 Z W 0 + P E l 0 Z W 0 + P E l 0 Z W 1 M b 2 N h d G l v b j 4 8 S X R l b V R 5 c G U + R m 9 y b X V s Y T w v S X R l b V R 5 c G U + P E l 0 Z W 1 Q Y X R o P l N l Y 3 R p b 2 4 x L 0 x K L 1 d h Y X J k Z S U y M H Z l c n Z h b m d l b j M 5 P C 9 J d G V t U G F 0 a D 4 8 L 0 l 0 Z W 1 M b 2 N h d G l v b j 4 8 U 3 R h Y m x l R W 5 0 c m l l c y A v P j w v S X R l b T 4 8 S X R l b T 4 8 S X R l b U x v Y 2 F 0 a W 9 u P j x J d G V t V H l w Z T 5 G b 3 J t d W x h P C 9 J d G V t V H l w Z T 4 8 S X R l b V B h d G g + U 2 V j d G l v b j E v T E o v T m F t Z W 4 l M j B 2 Y W 4 l M j B r b 2 x v b W 1 l b i U y M G d l d 2 l q e m l n Z D E 5 P C 9 J d G V t U G F 0 a D 4 8 L 0 l 0 Z W 1 M b 2 N h d G l v b j 4 8 U 3 R h Y m x l R W 5 0 c m l l c y A v P j w v S X R l b T 4 8 S X R l b T 4 8 S X R l b U x v Y 2 F 0 a W 9 u P j x J d G V t V H l w Z T 5 G b 3 J t d W x h P C 9 J d G V t V H l w Z T 4 8 S X R l b V B h d G g + U 2 V j d G l v b j E v T E o v V 2 F h c m R l J T I w d m V y d m F u Z 2 V u N D A 8 L 0 l 0 Z W 1 Q Y X R o P j w v S X R l b U x v Y 2 F 0 a W 9 u P j x T d G F i b G V F b n R y a W V z I C 8 + P C 9 J d G V t P j x J d G V t P j x J d G V t T G 9 j Y X R p b 2 4 + P E l 0 Z W 1 U e X B l P k Z v c m 1 1 b G E 8 L 0 l 0 Z W 1 U e X B l P j x J d G V t U G F 0 a D 5 T Z W N 0 a W 9 u M S 9 M S i 9 U e X B l J T I w Z 2 V 3 a W p 6 a W d k M T w v S X R l b V B h d G g + P C 9 J d G V t T G 9 j Y X R p b 2 4 + P F N 0 Y W J s Z U V u d H J p Z X M g L z 4 8 L 0 l 0 Z W 0 + P E l 0 Z W 0 + P E l 0 Z W 1 M b 2 N h d G l v b j 4 8 S X R l b V R 5 c G U + R m 9 y b X V s Y T w v S X R l b V R 5 c G U + P E l 0 Z W 1 Q Y X R o P l N l Y 3 R p b 2 4 x L 0 x K L 1 J p a m V u J T I w Z 2 V z b 3 J 0 Z W V y Z D w v S X R l b V B h d G g + P C 9 J d G V t T G 9 j Y X R p b 2 4 + P F N 0 Y W J s Z U V u d H J p Z X M g L z 4 8 L 0 l 0 Z W 0 + P E l 0 Z W 0 + P E l 0 Z W 1 M b 2 N h d G l v b j 4 8 S X R l b V R 5 c G U + R m 9 y b X V s Y T w v S X R l b V R 5 c G U + P E l 0 Z W 1 Q Y X R o P l N l Y 3 R p b 2 4 x L 0 t E T C 9 X Y W F y Z G U l M j B 2 Z X J 2 Y W 5 n Z W 4 0 M T w v S X R l b V B h d G g + P C 9 J d G V t T G 9 j Y X R p b 2 4 + P F N 0 Y W J s Z U V u d H J p Z X M g L z 4 8 L 0 l 0 Z W 0 + P E l 0 Z W 0 + P E l 0 Z W 1 M b 2 N h d G l v b j 4 8 S X R l b V R 5 c G U + R m 9 y b X V s Y T w v S X R l b V R 5 c G U + P E l 0 Z W 1 Q Y X R o P l N l Y 3 R p b 2 4 x L 0 t E T C 9 X Y W F y Z G U l M j B 2 Z X J 2 Y W 5 n Z W 4 0 M j w v S X R l b V B h d G g + P C 9 J d G V t T G 9 j Y X R p b 2 4 + P F N 0 Y W J s Z U V u d H J p Z X M g L z 4 8 L 0 l 0 Z W 0 + P E l 0 Z W 0 + P E l 0 Z W 1 M b 2 N h d G l v b j 4 8 S X R l b V R 5 c G U + R m 9 y b X V s Y T w v S X R l b V R 5 c G U + P E l 0 Z W 1 Q Y X R o P l N l Y 3 R p b 2 4 x L 0 t E Q S 9 X Y W F y Z G U l M j B 2 Z X J 2 Y W 5 n Z W 4 0 M j w v S X R l b V B h d G g + P C 9 J d G V t T G 9 j Y X R p b 2 4 + P F N 0 Y W J s Z U V u d H J p Z X M g L z 4 8 L 0 l 0 Z W 0 + P E l 0 Z W 0 + P E l 0 Z W 1 M b 2 N h d G l v b j 4 8 S X R l b V R 5 c G U + R m 9 y b X V s Y T w v S X R l b V R 5 c G U + P E l 0 Z W 1 Q Y X R o P l N l Y 3 R p b 2 4 x L 0 t E Q S 9 X Y W F y Z G U l M j B 2 Z X J 2 Y W 5 n Z W 4 0 M T w v S X R l b V B h d G g + P C 9 J d G V t T G 9 j Y X R p b 2 4 + P F N 0 Y W J s Z U V u d H J p Z X M g L z 4 8 L 0 l 0 Z W 0 + P E l 0 Z W 0 + P E l 0 Z W 1 M b 2 N h d G l v b j 4 8 S X R l b V R 5 c G U + R m 9 y b X V s Y T w v S X R l b V R 5 c G U + P E l 0 Z W 1 Q Y X R o P l N l Y 3 R p b 2 4 x L 0 t E U n Z O Q i 9 X Y W F y Z G U l M j B 2 Z X J 2 Y W 5 n Z W 4 0 M T w v S X R l b V B h d G g + P C 9 J d G V t T G 9 j Y X R p b 2 4 + P F N 0 Y W J s Z U V u d H J p Z X M g L z 4 8 L 0 l 0 Z W 0 + P E l 0 Z W 0 + P E l 0 Z W 1 M b 2 N h d G l v b j 4 8 S X R l b V R 5 c G U + R m 9 y b X V s Y T w v S X R l b V R 5 c G U + P E l 0 Z W 1 Q Y X R o P l N l Y 3 R p b 2 4 x L 0 t E U n Z O Q i 9 X Y W F y Z G U l M j B 2 Z X J 2 Y W 5 n Z W 4 0 M j w v S X R l b V B h d G g + P C 9 J d G V t T G 9 j Y X R p b 2 4 + P F N 0 Y W J s Z U V u d H J p Z X M g L z 4 8 L 0 l 0 Z W 0 + P E l 0 Z W 0 + P E l 0 Z W 1 M b 2 N h d G l v b j 4 8 S X R l b V R 5 c G U + R m 9 y b X V s Y T w v S X R l b V R 5 c G U + P E l 0 Z W 1 Q Y X R o P l N l Y 3 R p b 2 4 x L 0 x K L 1 d h Y X J k Z S U y M H Z l c n Z h b m d l b j Q x P C 9 J d G V t U G F 0 a D 4 8 L 0 l 0 Z W 1 M b 2 N h d G l v b j 4 8 U 3 R h Y m x l R W 5 0 c m l l c y A v P j w v S X R l b T 4 8 S X R l b T 4 8 S X R l b U x v Y 2 F 0 a W 9 u P j x J d G V t V H l w Z T 5 G b 3 J t d W x h P C 9 J d G V t V H l w Z T 4 8 S X R l b V B h d G g + U 2 V j d G l v b j E v T E o v V 2 F h c m R l J T I w d m V y d m F u Z 2 V u N D I 8 L 0 l 0 Z W 1 Q Y X R o P j w v S X R l b U x v Y 2 F 0 a W 9 u P j x T d G F i b G V F b n R y a W V z I C 8 + P C 9 J d G V t P j x J d G V t P j x J d G V t T G 9 j Y X R p b 2 4 + P E l 0 Z W 1 U e X B l P k Z v c m 1 1 b G E 8 L 0 l 0 Z W 1 U e X B l P j x J d G V t U G F 0 a D 5 T Z W N 0 a W 9 u M S 9 G U 0 Q v V 2 F h c m R l J T I w d m V y d m F u Z 2 V u N D E 8 L 0 l 0 Z W 1 Q Y X R o P j w v S X R l b U x v Y 2 F 0 a W 9 u P j x T d G F i b G V F b n R y a W V z I C 8 + P C 9 J d G V t P j x J d G V t P j x J d G V t T G 9 j Y X R p b 2 4 + P E l 0 Z W 1 U e X B l P k Z v c m 1 1 b G E 8 L 0 l 0 Z W 1 U e X B l P j x J d G V t U G F 0 a D 5 T Z W N 0 a W 9 u M S 9 G U 0 Q v V 2 F h c m R l J T I w d m V y d m F u Z 2 V u N D I 8 L 0 l 0 Z W 1 Q Y X R o P j w v S X R l b U x v Y 2 F 0 a W 9 u P j x T d G F i b G V F b n R y a W V z I C 8 + P C 9 J d G V t P j x J d G V t P j x J d G V t T G 9 j Y X R p b 2 4 + P E l 0 Z W 1 U e X B l P k Z v c m 1 1 b G E 8 L 0 l 0 Z W 1 U e X B l P j x J d G V t U G F 0 a D 5 T Z W N 0 a W 9 u M S 9 L R E 0 v V 2 F h c m R l J T I w d m V y d m F u Z 2 V u N D E 8 L 0 l 0 Z W 1 Q Y X R o P j w v S X R l b U x v Y 2 F 0 a W 9 u P j x T d G F i b G V F b n R y a W V z I C 8 + P C 9 J d G V t P j x J d G V t P j x J d G V t T G 9 j Y X R p b 2 4 + P E l 0 Z W 1 U e X B l P k Z v c m 1 1 b G E 8 L 0 l 0 Z W 1 U e X B l P j x J d G V t U G F 0 a D 5 T Z W N 0 a W 9 u M S 9 L R E 0 v V 2 F h c m R l J T I w d m V y d m F u Z 2 V u N D I 8 L 0 l 0 Z W 1 Q Y X R o P j w v S X R l b U x v Y 2 F 0 a W 9 u P j x T d G F i b G V F b n R y a W V z I C 8 + P C 9 J d G V t P j x J d G V t P j x J d G V t T G 9 j Y X R p b 2 4 + P E l 0 Z W 1 U e X B l P k Z v c m 1 1 b G E 8 L 0 l 0 Z W 1 U e X B l P j x J d G V t U G F 0 a D 5 T Z W N 0 a W 9 u M S 9 C a W V s Z W 1 h b n R y Z W Z m Z W 4 v V 2 F h c m R l J T I w d m V y d m F u Z 2 V u P C 9 J d G V t U G F 0 a D 4 8 L 0 l 0 Z W 1 M b 2 N h d G l v b j 4 8 U 3 R h Y m x l R W 5 0 c m l l c y A v P j w v S X R l b T 4 8 S X R l b T 4 8 S X R l b U x v Y 2 F 0 a W 9 u P j x J d G V t V H l w Z T 5 B b G x G b 3 J t d W x h c z w v S X R l b V R 5 c G U + P E l 0 Z W 1 Q Y X R o I C 8 + P C 9 J d G V t T G 9 j Y X R p b 2 4 + P F N 0 Y W J s Z U V u d H J p Z X M + P E V u d H J 5 I F R 5 c G U 9 I l F 1 Z X J 5 R 3 J v d X B z I i B W Y W x 1 Z T 0 i c 0 J B Q U F B Q U F B Q U F D T z V E M V F J N D N u U n F 4 N V V t M G h i c z F s T F V K b G M z U m h i b V F n Z G 1 G d U l F S n B a V 3 h s Y l d G d W R I S m x a b V p s Y m l B b 0 1 p a 2 d k S E p o Y m 5 O b W I z S n R a W E p s Y m d B Q U F B Q U F B Q U F B Q U F D T E M 0 V E c 1 b D h 3 U 2 9 H c n h Z Z n J n a 2 V w R G t o b G J I Q m x j a T F 4 Z F d W e W V T Z H p B Q U d P N U Q x U U k 0 M 2 5 S c X g 1 V W 0 w a G J z M W x B Q U F B Q U F B Q U F B R D l T b G d v N U d U M F F v S 0 I r N 2 l P S X p G M U t V S m x j M 1 J o Y m 1 R Z 2 R t R n V J R U p w W l d 4 b G J X R n V k S E p s W m 1 a b G J p Q j B j b U Z 1 Y z J a d m N t M W x j b V Z 1 Q U F B Q 0 F B Q U F B Q U F B Q U V 1 Z 1 R q T G 9 X Z G h E b G N l M V p t R F V v M W N P U 0 d W c 2 N H V n l M W E Y x W l h K N U o z T U F B Z j F L V 0 N q a 1 p Q U k N n b 0 g 3 d U k 0 a k 1 Y V U F B Q U F B I i A v P j x F b n R y e S B U e X B l P S J S Z W x h d G l v b n N o a X B z I i B W Y W x 1 Z T 0 i c 0 F B Q U F B Q T 0 9 I i A v P j x F b n R y e S B U e X B l P S J J c 1 R 5 c G V E Z X R l Y 3 R p b 2 5 F b m F i b G V k I i B W Y W x 1 Z T 0 i c 1 R y d W U i I C 8 + P C 9 T d G F i b G V F b n R y a W V z P j w v S X R l b T 4 8 S X R l b T 4 8 S X R l b U x v Y 2 F 0 a W 9 u P j x J d G V t V H l w Z T 5 G b 3 J t d W x h P C 9 J d G V t V H l w Z T 4 8 S X R l b V B h d G g + U 2 V j d G l v b j E v R 0 t W S S 9 U e X B l J T I w Z 2 V 3 a W p 6 a W d k P C 9 J d G V t U G F 0 a D 4 8 L 0 l 0 Z W 1 M b 2 N h d G l v b j 4 8 U 3 R h Y m x l R W 5 0 c m l l c y A v P j w v S X R l b T 4 8 S X R l b T 4 8 S X R l b U x v Y 2 F 0 a W 9 u P j x J d G V t V H l w Z T 5 G b 3 J t d W x h P C 9 J d G V t V H l w Z T 4 8 S X R l b V B h d G g + U 2 V j d G l v b j E v S 0 R N L 1 R 5 c G U l M j B n Z X d p a n p p Z 2 Q 8 L 0 l 0 Z W 1 Q Y X R o P j w v S X R l b U x v Y 2 F 0 a W 9 u P j x T d G F i b G V F b n R y a W V z I C 8 + P C 9 J d G V t P j x J d G V t P j x J d G V t T G 9 j Y X R p b 2 4 + P E l 0 Z W 1 U e X B l P k Z v c m 1 1 b G E 8 L 0 l 0 Z W 1 U e X B l P j x J d G V t U G F 0 a D 5 T Z W N 0 a W 9 u M S 9 L R E 0 v T m F t Z W 4 l M j B 2 Y W 4 l M j B r b 2 x v b W 1 l b i U y M G d l d 2 l q e m l n Z D E 4 P C 9 J d G V t U G F 0 a D 4 8 L 0 l 0 Z W 1 M b 2 N h d G l v b j 4 8 U 3 R h Y m x l R W 5 0 c m l l c y A v P j w v S X R l b T 4 8 S X R l b T 4 8 S X R l b U x v Y 2 F 0 a W 9 u P j x J d G V t V H l w Z T 5 G b 3 J t d W x h P C 9 J d G V t V H l w Z T 4 8 S X R l b V B h d G g + U 2 V j d G l v b j E v S 0 R B L 0 5 h b W V u J T I w d m F u J T I w a 2 9 s b 2 1 t Z W 4 l M j B n Z X d p a n p p Z 2 Q x O D w v S X R l b V B h d G g + P C 9 J d G V t T G 9 j Y X R p b 2 4 + P F N 0 Y W J s Z U V u d H J p Z X M g L z 4 8 L 0 l 0 Z W 0 + P E l 0 Z W 0 + P E l 0 Z W 1 M b 2 N h d G l v b j 4 8 S X R l b V R 5 c G U + R m 9 y b X V s Y T w v S X R l b V R 5 c G U + P E l 0 Z W 1 Q Y X R o P l N l Y 3 R p b 2 4 x L 0 t E U n Z O Q i 9 O Y W 1 l b i U y M H Z h b i U y M G t v b G 9 t b W V u J T I w Z 2 V 3 a W p 6 a W d k M T g 8 L 0 l 0 Z W 1 Q Y X R o P j w v S X R l b U x v Y 2 F 0 a W 9 u P j x T d G F i b G V F b n R y a W V z I C 8 + P C 9 J d G V t P j x J d G V t P j x J d G V t T G 9 j Y X R p b 2 4 + P E l 0 Z W 1 U e X B l P k Z v c m 1 1 b G E 8 L 0 l 0 Z W 1 U e X B l P j x J d G V t U G F 0 a D 5 T Z W N 0 a W 9 u M S 9 M S i 9 O Y W 1 l b i U y M H Z h b i U y M G t v b G 9 t b W V u J T I w Z 2 V 3 a W p 6 a W d k M T g 8 L 0 l 0 Z W 1 Q Y X R o P j w v S X R l b U x v Y 2 F 0 a W 9 u P j x T d G F i b G V F b n R y a W V z I C 8 + P C 9 J d G V t P j x J d G V t P j x J d G V t T G 9 j Y X R p b 2 4 + P E l 0 Z W 1 U e X B l P k Z v c m 1 1 b G E 8 L 0 l 0 Z W 1 U e X B l P j x J d G V t U G F 0 a D 5 T Z W N 0 a W 9 u M S 9 G U 0 Q v T m F t Z W 4 l M j B 2 Y W 4 l M j B r b 2 x v b W 1 l b i U y M G d l d 2 l q e m l n Z D E 4 P C 9 J d G V t U G F 0 a D 4 8 L 0 l 0 Z W 1 M b 2 N h d G l v b j 4 8 U 3 R h Y m x l R W 5 0 c m l l c y A v P j w v S X R l b T 4 8 S X R l b T 4 8 S X R l b U x v Y 2 F 0 a W 9 u P j x J d G V t V H l w Z T 5 G b 3 J t d W x h P C 9 J d G V t V H l w Z T 4 8 S X R l b V B h d G g + U 2 V j d G l v b j E v S 0 R N L 1 R 5 c G U l M j B n Z X d p a n p p Z 2 Q y P C 9 J d G V t U G F 0 a D 4 8 L 0 l 0 Z W 1 M b 2 N h d G l v b j 4 8 U 3 R h Y m x l R W 5 0 c m l l c y A v P j w v S X R l b T 4 8 S X R l b T 4 8 S X R l b U x v Y 2 F 0 a W 9 u P j x J d G V t V H l w Z T 5 G b 3 J t d W x h P C 9 J d G V t V H l w Z T 4 8 S X R l b V B h d G g + U 2 V j d G l v b j E v S 0 R M L 1 R 5 c G U l M j B n Z X d p a n p p Z 2 Q y P C 9 J d G V t U G F 0 a D 4 8 L 0 l 0 Z W 1 M b 2 N h d G l v b j 4 8 U 3 R h Y m x l R W 5 0 c m l l c y A v P j w v S X R l b T 4 8 S X R l b T 4 8 S X R l b U x v Y 2 F 0 a W 9 u P j x J d G V t V H l w Z T 5 G b 3 J t d W x h P C 9 J d G V t V H l w Z T 4 8 S X R l b V B h d G g + U 2 V j d G l v b j E v S 0 R B L 1 R 5 c G U l M j B n Z X d p a n p p Z 2 Q y P C 9 J d G V t U G F 0 a D 4 8 L 0 l 0 Z W 1 M b 2 N h d G l v b j 4 8 U 3 R h Y m x l R W 5 0 c m l l c y A v P j w v S X R l b T 4 8 S X R l b T 4 8 S X R l b U x v Y 2 F 0 a W 9 u P j x J d G V t V H l w Z T 5 G b 3 J t d W x h P C 9 J d G V t V H l w Z T 4 8 S X R l b V B h d G g + U 2 V j d G l v b j E v S 0 R S d k 5 C L 1 R 5 c G U l M j B n Z X d p a n p p Z 2 Q y P C 9 J d G V t U G F 0 a D 4 8 L 0 l 0 Z W 1 M b 2 N h d G l v b j 4 8 U 3 R h Y m x l R W 5 0 c m l l c y A v P j w v S X R l b T 4 8 S X R l b T 4 8 S X R l b U x v Y 2 F 0 a W 9 u P j x J d G V t V H l w Z T 5 G b 3 J t d W x h P C 9 J d G V t V H l w Z T 4 8 S X R l b V B h d G g + U 2 V j d G l v b j E v T E o v V H l w Z S U y M G d l d 2 l q e m l n Z D I 8 L 0 l 0 Z W 1 Q Y X R o P j w v S X R l b U x v Y 2 F 0 a W 9 u P j x T d G F i b G V F b n R y a W V z I C 8 + P C 9 J d G V t P j x J d G V t P j x J d G V t T G 9 j Y X R p b 2 4 + P E l 0 Z W 1 U e X B l P k Z v c m 1 1 b G E 8 L 0 l 0 Z W 1 U e X B l P j x J d G V t U G F 0 a D 5 T Z W N 0 a W 9 u M S 9 G U 0 Q v V H l w Z S U y M G d l d 2 l q e m l n Z D I 8 L 0 l 0 Z W 1 Q Y X R o P j w v S X R l b U x v Y 2 F 0 a W 9 u P j x T d G F i b G V F b n R y a W V z I C 8 + P C 9 J d G V t P j x J d G V t P j x J d G V t T G 9 j Y X R p b 2 4 + P E l 0 Z W 1 U e X B l P k Z v c m 1 1 b G E 8 L 0 l 0 Z W 1 U e X B l P j x J d G V t U G F 0 a D 5 T Z W N 0 a W 9 u M S 9 C a W V s Z W 1 h b n R y Z W Z m Z W 4 v V m 9 s Z 2 9 y Z G U l M j B 2 Y W 4 l M j B r b 2 x v b W 1 l b i U y M G d l d 2 l q e m l n Z D E 8 L 0 l 0 Z W 1 Q Y X R o P j w v S X R l b U x v Y 2 F 0 a W 9 u P j x T d G F i b G V F b n R y a W V z I C 8 + P C 9 J d G V t P j x J d G V t P j x J d G V t T G 9 j Y X R p b 2 4 + P E l 0 Z W 1 U e X B l P k Z v c m 1 1 b G E 8 L 0 l 0 Z W 1 U e X B l P j x J d G V t U G F 0 a D 5 T Z W N 0 a W 9 u M S 9 C a W V s Z W 1 h b n R y Z W Z m Z W 4 v S 2 9 s b 2 1 t Z W 4 l M j B 2 Z X J 3 a W p k Z X J k P C 9 J d G V t U G F 0 a D 4 8 L 0 l 0 Z W 1 M b 2 N h d G l v b j 4 8 U 3 R h Y m x l R W 5 0 c m l l c y A v P j w v S X R l b T 4 8 S X R l b T 4 8 S X R l b U x v Y 2 F 0 a W 9 u P j x J d G V t V H l w Z T 5 G b 3 J t d W x h P C 9 J d G V t V H l w Z T 4 8 S X R l b V B h d G g + U 2 V j d G l v b j E v Q m l l b G V t Y W 5 0 c m V m Z m V u L 1 R 5 c G U l M j B n Z X d p a n p p Z 2 Q x P C 9 J d G V t U G F 0 a D 4 8 L 0 l 0 Z W 1 M b 2 N h d G l v b j 4 8 U 3 R h Y m x l R W 5 0 c m l l c y A v P j w v S X R l b T 4 8 S X R l b T 4 8 S X R l b U x v Y 2 F 0 a W 9 u P j x J d G V t V H l w Z T 5 G b 3 J t d W x h P C 9 J d G V t V H l w Z T 4 8 S X R l b V B h d G g + U 2 V j d G l v b j E v S 0 R N L 1 d h Y X J k Z S U y M H Z l c n Z h b m d l b j k 8 L 0 l 0 Z W 1 Q Y X R o P j w v S X R l b U x v Y 2 F 0 a W 9 u P j x T d G F i b G V F b n R y a W V z I C 8 + P C 9 J d G V t P j x J d G V t P j x J d G V t T G 9 j Y X R p b 2 4 + P E l 0 Z W 1 U e X B l P k Z v c m 1 1 b G E 8 L 0 l 0 Z W 1 U e X B l P j x J d G V t U G F 0 a D 5 T Z W N 0 a W 9 u M S 9 L R E 0 v T m F t Z W 4 l M j B 2 Y W 4 l M j B r b 2 x v b W 1 l b i U y M G d l d 2 l q e m l n Z D U 8 L 0 l 0 Z W 1 Q Y X R o P j w v S X R l b U x v Y 2 F 0 a W 9 u P j x T d G F i b G V F b n R y a W V z I C 8 + P C 9 J d G V t P j x J d G V t P j x J d G V t T G 9 j Y X R p b 2 4 + P E l 0 Z W 1 U e X B l P k Z v c m 1 1 b G E 8 L 0 l 0 Z W 1 U e X B l P j x J d G V t U G F 0 a D 5 T Z W N 0 a W 9 u M S 9 H S 1 Z J L 0 F h b m d l c G F z d C U y M G l 0 Z W 0 l M j B 0 b 2 V n Z X Z v Z W d k P C 9 J d G V t U G F 0 a D 4 8 L 0 l 0 Z W 1 M b 2 N h d G l v b j 4 8 U 3 R h Y m x l R W 5 0 c m l l c y A v P j w v S X R l b T 4 8 S X R l b T 4 8 S X R l b U x v Y 2 F 0 a W 9 u P j x J d G V t V H l w Z T 5 G b 3 J t d W x h P C 9 J d G V t V H l w Z T 4 8 S X R l b V B h d G g + U 2 V j d G l v b j E v R 0 t W S S 9 B Y W 5 n Z X B h c 3 Q l M j B p d G V t J T I w d G 9 l Z 2 V 2 b 2 V n Z C U y M D E 8 L 0 l 0 Z W 1 Q Y X R o P j w v S X R l b U x v Y 2 F 0 a W 9 u P j x T d G F i b G V F b n R y a W V z I C 8 + P C 9 J d G V t P j x J d G V t P j x J d G V t T G 9 j Y X R p b 2 4 + P E l 0 Z W 1 U e X B l P k Z v c m 1 1 b G E 8 L 0 l 0 Z W 1 U e X B l P j x J d G V t U G F 0 a D 5 T Z W N 0 a W 9 u M S 9 H S 1 Z J L 0 h l d C U y M G t v b G 9 t d H l w Z S U y M G l z J T I w Z 2 V 3 a W p 6 a W d k P C 9 J d G V t U G F 0 a D 4 8 L 0 l 0 Z W 1 M b 2 N h d G l v b j 4 8 U 3 R h Y m x l R W 5 0 c m l l c y A v P j w v S X R l b T 4 8 S X R l b T 4 8 S X R l b U x v Y 2 F 0 a W 9 u P j x J d G V t V H l w Z T 5 G b 3 J t d W x h P C 9 J d G V t V H l w Z T 4 8 S X R l b V B h d G g + U 2 V j d G l v b j E v R 0 t W S S 9 W b 2 x n b 3 J k Z S U y M H Z h b i U y M G t v b G 9 t b W V u J T I w Z 2 V 3 a W p 6 a W d k P C 9 J d G V t U G F 0 a D 4 8 L 0 l 0 Z W 1 M b 2 N h d G l v b j 4 8 U 3 R h Y m x l R W 5 0 c m l l c y A v P j w v S X R l b T 4 8 S X R l b T 4 8 S X R l b U x v Y 2 F 0 a W 9 u P j x J d G V t V H l w Z T 5 G b 3 J t d W x h P C 9 J d G V t V H l w Z T 4 8 S X R l b V B h d G g + U 2 V j d G l v b j E v S 0 R N L 1 d h Y X J k Z S U y M G l z J T I w d m V y d m F u Z 2 V u P C 9 J d G V t U G F 0 a D 4 8 L 0 l 0 Z W 1 M b 2 N h d G l v b j 4 8 U 3 R h Y m x l R W 5 0 c m l l c y A v P j w v S X R l b T 4 8 S X R l b T 4 8 S X R l b U x v Y 2 F 0 a W 9 u P j x J d G V t V H l w Z T 5 G b 3 J t d W x h P C 9 J d G V t V H l w Z T 4 8 S X R l b V B h d G g + U 2 V j d G l v b j E v S 0 R M L 1 d h Y X J k Z S U y M G l z J T I w d m V y d m F u Z 2 V u P C 9 J d G V t U G F 0 a D 4 8 L 0 l 0 Z W 1 M b 2 N h d G l v b j 4 8 U 3 R h Y m x l R W 5 0 c m l l c y A v P j w v S X R l b T 4 8 S X R l b T 4 8 S X R l b U x v Y 2 F 0 a W 9 u P j x J d G V t V H l w Z T 5 G b 3 J t d W x h P C 9 J d G V t V H l w Z T 4 8 S X R l b V B h d G g + U 2 V j d G l v b j E v S 0 R B L 1 d h Y X J k Z S U y M G l z J T I w d m V y d m F u Z 2 V u P C 9 J d G V t U G F 0 a D 4 8 L 0 l 0 Z W 1 M b 2 N h d G l v b j 4 8 U 3 R h Y m x l R W 5 0 c m l l c y A v P j w v S X R l b T 4 8 S X R l b T 4 8 S X R l b U x v Y 2 F 0 a W 9 u P j x J d G V t V H l w Z T 5 G b 3 J t d W x h P C 9 J d G V t V H l w Z T 4 8 S X R l b V B h d G g + U 2 V j d G l v b j E v S 0 R S d k 5 C L 1 d h Y X J k Z S U y M G l z J T I w d m V y d m F u Z 2 V u P C 9 J d G V t U G F 0 a D 4 8 L 0 l 0 Z W 1 M b 2 N h d G l v b j 4 8 U 3 R h Y m x l R W 5 0 c m l l c y A v P j w v S X R l b T 4 8 S X R l b T 4 8 S X R l b U x v Y 2 F 0 a W 9 u P j x J d G V t V H l w Z T 5 G b 3 J t d W x h P C 9 J d G V t V H l w Z T 4 8 S X R l b V B h d G g + U 2 V j d G l v b j E v T E o v V 2 F h c m R l J T I w a X M l M j B 2 Z X J 2 Y W 5 n Z W 4 8 L 0 l 0 Z W 1 Q Y X R o P j w v S X R l b U x v Y 2 F 0 a W 9 u P j x T d G F i b G V F b n R y a W V z I C 8 + P C 9 J d G V t P j x J d G V t P j x J d G V t T G 9 j Y X R p b 2 4 + P E l 0 Z W 1 U e X B l P k Z v c m 1 1 b G E 8 L 0 l 0 Z W 1 U e X B l P j x J d G V t U G F 0 a D 5 T Z W N 0 a W 9 u M S 9 G U 0 Q v V 2 F h c m R l J T I w a X M l M j B 2 Z X J 2 Y W 5 n Z W 4 8 L 0 l 0 Z W 1 Q Y X R o P j w v S X R l b U x v Y 2 F 0 a W 9 u P j x T d G F i b G V F b n R y a W V z I C 8 + P C 9 J d G V t P j x J d G V t P j x J d G V t T G 9 j Y X R p b 2 4 + P E l 0 Z W 1 U e X B l P k Z v c m 1 1 b G E 8 L 0 l 0 Z W 1 U e X B l P j x J d G V t U G F 0 a D 5 T Z W N 0 a W 9 u M S 9 H S 1 Z J L 1 d h Y X J k Z S U y M G l z J T I w d m V y d m F u Z 2 V u P C 9 J d G V t U G F 0 a D 4 8 L 0 l 0 Z W 1 M b 2 N h d G l v b j 4 8 U 3 R h Y m x l R W 5 0 c m l l c y A v P j w v S X R l b T 4 8 S X R l b T 4 8 S X R l b U x v Y 2 F 0 a W 9 u P j x J d G V t V H l w Z T 5 G b 3 J t d W x h P C 9 J d G V t V H l w Z T 4 8 S X R l b V B h d G g + U 2 V j d G l v b j E v S 0 R N L 1 d h Y X J k Z S U y M G l z J T I w d m V y d m F u Z 2 V u J T I w M T w v S X R l b V B h d G g + P C 9 J d G V t T G 9 j Y X R p b 2 4 + P F N 0 Y W J s Z U V u d H J p Z X M g L z 4 8 L 0 l 0 Z W 0 + P E l 0 Z W 0 + P E l 0 Z W 1 M b 2 N h d G l v b j 4 8 S X R l b V R 5 c G U + R m 9 y b X V s Y T w v S X R l b V R 5 c G U + P E l 0 Z W 1 Q Y X R o P l N l Y 3 R p b 2 4 x L 0 t E T C 9 X Y W F y Z G U l M j B p c y U y M H Z l c n Z h b m d l b i U y M D E 8 L 0 l 0 Z W 1 Q Y X R o P j w v S X R l b U x v Y 2 F 0 a W 9 u P j x T d G F i b G V F b n R y a W V z I C 8 + P C 9 J d G V t P j x J d G V t P j x J d G V t T G 9 j Y X R p b 2 4 + P E l 0 Z W 1 U e X B l P k Z v c m 1 1 b G E 8 L 0 l 0 Z W 1 U e X B l P j x J d G V t U G F 0 a D 5 T Z W N 0 a W 9 u M S 9 L R E E v V 2 F h c m R l J T I w a X M l M j B 2 Z X J 2 Y W 5 n Z W 4 l M j A x P C 9 J d G V t U G F 0 a D 4 8 L 0 l 0 Z W 1 M b 2 N h d G l v b j 4 8 U 3 R h Y m x l R W 5 0 c m l l c y A v P j w v S X R l b T 4 8 S X R l b T 4 8 S X R l b U x v Y 2 F 0 a W 9 u P j x J d G V t V H l w Z T 5 G b 3 J t d W x h P C 9 J d G V t V H l w Z T 4 8 S X R l b V B h d G g + U 2 V j d G l v b j E v S 0 R S d k 5 C L 1 d h Y X J k Z S U y M G l z J T I w d m V y d m F u Z 2 V u J T I w M T w v S X R l b V B h d G g + P C 9 J d G V t T G 9 j Y X R p b 2 4 + P F N 0 Y W J s Z U V u d H J p Z X M g L z 4 8 L 0 l 0 Z W 0 + P E l 0 Z W 0 + P E l 0 Z W 1 M b 2 N h d G l v b j 4 8 S X R l b V R 5 c G U + R m 9 y b X V s Y T w v S X R l b V R 5 c G U + P E l 0 Z W 1 Q Y X R o P l N l Y 3 R p b 2 4 x L 0 x K L 1 d h Y X J k Z S U y M G l z J T I w d m V y d m F u Z 2 V u J T I w M T w v S X R l b V B h d G g + P C 9 J d G V t T G 9 j Y X R p b 2 4 + P F N 0 Y W J s Z U V u d H J p Z X M g L z 4 8 L 0 l 0 Z W 0 + P E l 0 Z W 0 + P E l 0 Z W 1 M b 2 N h d G l v b j 4 8 S X R l b V R 5 c G U + R m 9 y b X V s Y T w v S X R l b V R 5 c G U + P E l 0 Z W 1 Q Y X R o P l N l Y 3 R p b 2 4 x L 0 Z T R C 9 X Y W F y Z G U l M j B p c y U y M H Z l c n Z h b m d l b i U y M D E 8 L 0 l 0 Z W 1 Q Y X R o P j w v S X R l b U x v Y 2 F 0 a W 9 u P j x T d G F i b G V F b n R y a W V z I C 8 + P C 9 J d G V t P j w v S X R l b X M + P C 9 M b 2 N h b F B h Y 2 t h Z 2 V N Z X R h Z G F 0 Y U Z p b G U + F g A A A F B L B Q Y A A A A A A A A A A A A A A A A A A A A A A A B k A A A A N K n c c 3 C n 7 G H X Z N Y y c 9 k t 2 G h V 1 5 N 2 F a 6 S B A F a J J x S + z o T z z L 7 0 e x o 0 C l 5 Y h F j u h L 8 A q g D N / 0 j 5 w f l i B 6 b 6 V E o W s K X N Y c 3 H F Z w d 1 x u V F u d v i d 0 O I 1 y X j X k i D 8 U S 9 X X R R M n D p p 3 d A = = < / D a t a M a s h u p > 
</file>

<file path=customXml/itemProps1.xml><?xml version="1.0" encoding="utf-8"?>
<ds:datastoreItem xmlns:ds="http://schemas.openxmlformats.org/officeDocument/2006/customXml" ds:itemID="{4C6B04D2-3A34-43D6-AE19-27D8B6662CDC}">
  <ds:schemaRefs>
    <ds:schemaRef ds:uri="http://schemas.microsoft.com/office/2006/metadata/properties"/>
    <ds:schemaRef ds:uri="65ad308b-2083-401f-bfeb-b2b7430ea54a"/>
    <ds:schemaRef ds:uri="16868e8d-a882-449e-81d4-1ad0b5292899"/>
    <ds:schemaRef ds:uri="http://schemas.microsoft.com/office/2006/documentManagement/types"/>
    <ds:schemaRef ds:uri="http://purl.org/dc/dcmitype/"/>
    <ds:schemaRef ds:uri="http://purl.org/dc/terms/"/>
    <ds:schemaRef ds:uri="http://purl.org/dc/elements/1.1/"/>
    <ds:schemaRef ds:uri="http://schemas.microsoft.com/office/infopath/2007/PartnerControls"/>
    <ds:schemaRef ds:uri="http://schemas.openxmlformats.org/package/2006/metadata/core-properties"/>
    <ds:schemaRef ds:uri="http://www.w3.org/XML/1998/namespace"/>
  </ds:schemaRefs>
</ds:datastoreItem>
</file>

<file path=customXml/itemProps2.xml><?xml version="1.0" encoding="utf-8"?>
<ds:datastoreItem xmlns:ds="http://schemas.openxmlformats.org/officeDocument/2006/customXml" ds:itemID="{4A531949-6BE2-4996-A31A-B2AE19440964}">
  <ds:schemaRefs>
    <ds:schemaRef ds:uri="http://schemas.microsoft.com/sharepoint/v3/contenttype/forms"/>
  </ds:schemaRefs>
</ds:datastoreItem>
</file>

<file path=customXml/itemProps3.xml><?xml version="1.0" encoding="utf-8"?>
<ds:datastoreItem xmlns:ds="http://schemas.openxmlformats.org/officeDocument/2006/customXml" ds:itemID="{1E33B80B-A065-43C1-B140-E5F61ABCE7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868e8d-a882-449e-81d4-1ad0b5292899"/>
    <ds:schemaRef ds:uri="65ad308b-2083-401f-bfeb-b2b7430ea54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0A11DB6-8985-46B0-9B19-824420130A7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Werkbladen</vt:lpstr>
      </vt:variant>
      <vt:variant>
        <vt:i4>9</vt:i4>
      </vt:variant>
    </vt:vector>
  </HeadingPairs>
  <TitlesOfParts>
    <vt:vector size="9" baseType="lpstr">
      <vt:lpstr>Kringdagen</vt:lpstr>
      <vt:lpstr>KDM</vt:lpstr>
      <vt:lpstr>KDL</vt:lpstr>
      <vt:lpstr>KDA</vt:lpstr>
      <vt:lpstr>KDRvNB</vt:lpstr>
      <vt:lpstr>LJ</vt:lpstr>
      <vt:lpstr>FSD</vt:lpstr>
      <vt:lpstr>GKVI</vt:lpstr>
      <vt:lpstr>BIEL</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Tjebbe</dc:creator>
  <cp:keywords/>
  <dc:description/>
  <cp:lastModifiedBy>Tjebbe Kersten</cp:lastModifiedBy>
  <cp:revision/>
  <dcterms:created xsi:type="dcterms:W3CDTF">2021-08-01T11:23:23Z</dcterms:created>
  <dcterms:modified xsi:type="dcterms:W3CDTF">2024-12-21T12:43:56Z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0x010100628E49110E16CA4CAD6807469259A23F</vt:lpwstr>
  </property>
</Properties>
</file>