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https://schutternet.sharepoint.com/sites/itontwikkeling/Shared Documents/General/Inschrijvingen/2025/"/>
    </mc:Choice>
  </mc:AlternateContent>
  <xr:revisionPtr revIDLastSave="596" documentId="8_{4EBF44F4-06D5-9C4D-8694-FA19A984791C}" xr6:coauthVersionLast="47" xr6:coauthVersionMax="47" xr10:uidLastSave="{11E2B3EA-AD5C-A340-AB8F-E7A490BE0500}"/>
  <bookViews>
    <workbookView xWindow="0" yWindow="780" windowWidth="34200" windowHeight="19940" activeTab="7" xr2:uid="{03CD9580-A04D-4759-BAC1-CC6687E7BA10}"/>
  </bookViews>
  <sheets>
    <sheet name="Kringdagen" sheetId="7" r:id="rId1"/>
    <sheet name="KDM" sheetId="3" r:id="rId2"/>
    <sheet name="KDL" sheetId="4" r:id="rId3"/>
    <sheet name="KDA" sheetId="5" r:id="rId4"/>
    <sheet name="KDRvNB" sheetId="6" r:id="rId5"/>
    <sheet name="LJ" sheetId="11" state="hidden" r:id="rId6"/>
    <sheet name="FSD" sheetId="2" r:id="rId7"/>
    <sheet name="GKVI" sheetId="8" r:id="rId8"/>
    <sheet name="BIEL" sheetId="10" r:id="rId9"/>
  </sheets>
  <definedNames>
    <definedName name="ExternalData_1" localSheetId="6" hidden="1">FSD!$A$6:$BW$25</definedName>
    <definedName name="ExternalData_1" localSheetId="3" hidden="1">KDA!$A$6:$BW$18</definedName>
    <definedName name="ExternalData_1" localSheetId="2" hidden="1">KDL!$A$6:$BW$15</definedName>
    <definedName name="ExternalData_1" localSheetId="1" hidden="1">KDM!$A$7:$BW$12</definedName>
    <definedName name="ExternalData_1" localSheetId="4" hidden="1">KDRvNB!$A$6:$BW$12</definedName>
    <definedName name="ExternalData_1" localSheetId="0" hidden="1">Kringdagen!$A$6:$BW$57</definedName>
    <definedName name="ExterneGegevens_1" localSheetId="3" hidden="1">KDA!#REF!</definedName>
    <definedName name="ExterneGegevens_1" localSheetId="2" hidden="1">KDL!#REF!</definedName>
    <definedName name="ExterneGegevens_1" localSheetId="1" hidden="1">KDM!#REF!</definedName>
    <definedName name="ExterneGegevens_1" localSheetId="4" hidden="1">KDRvNB!#REF!</definedName>
    <definedName name="ExterneGegevens_1" localSheetId="0" hidden="1">Kringdagen!#REF!</definedName>
    <definedName name="ExterneGegevens_2" localSheetId="8" hidden="1">BIEL!$A$5:$K$12</definedName>
    <definedName name="ExterneGegevens_4" localSheetId="7" hidden="1">GKVI!$A$6:$W$25</definedName>
    <definedName name="ExterneGegevens_4" localSheetId="5" hidden="1">LJ!$A$6:$BW$7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0" l="1"/>
  <c r="D13" i="10"/>
  <c r="E13" i="10"/>
  <c r="F13" i="10"/>
  <c r="G13" i="10"/>
  <c r="C26" i="8"/>
  <c r="F26" i="8"/>
  <c r="G26" i="8"/>
  <c r="H26" i="8"/>
  <c r="I26" i="8"/>
  <c r="J26" i="8"/>
  <c r="K26" i="8"/>
  <c r="L26" i="8"/>
  <c r="M26" i="8"/>
  <c r="O26" i="8"/>
  <c r="P26" i="8"/>
  <c r="Q26" i="8"/>
  <c r="R26" i="8"/>
  <c r="S26" i="8"/>
  <c r="T26" i="8"/>
  <c r="U26" i="8"/>
  <c r="C26" i="2"/>
  <c r="D26" i="2"/>
  <c r="E26" i="2"/>
  <c r="F26" i="2"/>
  <c r="G26" i="2"/>
  <c r="H26" i="2"/>
  <c r="I26" i="2"/>
  <c r="J26" i="2"/>
  <c r="K26" i="2"/>
  <c r="L26" i="2"/>
  <c r="M26" i="2"/>
  <c r="N26" i="2"/>
  <c r="O26" i="2"/>
  <c r="P26" i="2"/>
  <c r="T26"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AX26" i="2"/>
  <c r="AY26" i="2"/>
  <c r="AZ26" i="2"/>
  <c r="BW26" i="2"/>
  <c r="C13" i="6"/>
  <c r="D13" i="6"/>
  <c r="E13" i="6"/>
  <c r="F13" i="6"/>
  <c r="G13" i="6"/>
  <c r="H13" i="6"/>
  <c r="I13" i="6"/>
  <c r="J13" i="6"/>
  <c r="K13" i="6"/>
  <c r="L13" i="6"/>
  <c r="M13" i="6"/>
  <c r="N13" i="6"/>
  <c r="O13" i="6"/>
  <c r="P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W13" i="6"/>
  <c r="C19" i="5"/>
  <c r="D19" i="5"/>
  <c r="E19" i="5"/>
  <c r="F19" i="5"/>
  <c r="G19" i="5"/>
  <c r="H19" i="5"/>
  <c r="I19" i="5"/>
  <c r="J19" i="5"/>
  <c r="K19" i="5"/>
  <c r="L19" i="5"/>
  <c r="M19" i="5"/>
  <c r="N19" i="5"/>
  <c r="O19" i="5"/>
  <c r="P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AU19" i="5"/>
  <c r="AV19" i="5"/>
  <c r="AW19" i="5"/>
  <c r="AX19" i="5"/>
  <c r="AY19" i="5"/>
  <c r="AZ19" i="5"/>
  <c r="BW19" i="5"/>
  <c r="C58" i="7"/>
  <c r="D58" i="7"/>
  <c r="E58" i="7"/>
  <c r="F58" i="7"/>
  <c r="G58" i="7"/>
  <c r="H58" i="7"/>
  <c r="I58" i="7"/>
  <c r="J58" i="7"/>
  <c r="K58" i="7"/>
  <c r="L58" i="7"/>
  <c r="M58" i="7"/>
  <c r="N58" i="7"/>
  <c r="O58" i="7"/>
  <c r="P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W58" i="7"/>
  <c r="C16" i="4"/>
  <c r="D16" i="4"/>
  <c r="E16" i="4"/>
  <c r="F16" i="4"/>
  <c r="G16" i="4"/>
  <c r="H16" i="4"/>
  <c r="I16" i="4"/>
  <c r="J16" i="4"/>
  <c r="K16" i="4"/>
  <c r="L16" i="4"/>
  <c r="M16" i="4"/>
  <c r="N16" i="4"/>
  <c r="O16" i="4"/>
  <c r="P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W16" i="4"/>
  <c r="C13" i="3"/>
  <c r="D13" i="3"/>
  <c r="E13" i="3"/>
  <c r="F13" i="3"/>
  <c r="G13" i="3"/>
  <c r="H13" i="3"/>
  <c r="I13" i="3"/>
  <c r="J13" i="3"/>
  <c r="K13" i="3"/>
  <c r="L13" i="3"/>
  <c r="M13" i="3"/>
  <c r="N13" i="3"/>
  <c r="O13" i="3"/>
  <c r="P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W13" i="3"/>
  <c r="AM8" i="11" l="1"/>
  <c r="CG8" i="11" l="1"/>
  <c r="AO8" i="11"/>
  <c r="AN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25862AB-1258-427D-8EA5-40A8709440DB}" keepAlive="1" name="Query - Bestand transformeren" description="Verbinding maken met de query Bestand transformeren in de werkmap." type="5" refreshedVersion="0" background="1">
    <dbPr connection="Provider=Microsoft.Mashup.OleDb.1;Data Source=$Workbook$;Location=&quot;Bestand transformeren&quot;;Extended Properties=&quot;&quot;" command="SELECT * FROM [Bestand transformeren]"/>
  </connection>
  <connection id="2" xr16:uid="{24C01A1E-D826-4112-9955-886819B151F5}" keepAlive="1" name="Query - Bestand transformeren (2)" description="Verbinding maken met de query Bestand transformeren (2) in de werkmap." type="5" refreshedVersion="0" background="1">
    <dbPr connection="Provider=Microsoft.Mashup.OleDb.1;Data Source=$Workbook$;Location=&quot;Bestand transformeren (2)&quot;;Extended Properties=&quot;&quot;" command="SELECT * FROM [Bestand transformeren (2)]"/>
  </connection>
  <connection id="3" xr16:uid="{3B6A0310-664C-4E64-A3B7-25F3E681196D}" keepAlive="1" name="Query - Bielemantreffen" description="Verbinding maken met de query Bielemantreffen in de werkmap." type="5" refreshedVersion="8" background="1" saveData="1">
    <dbPr connection="Provider=Microsoft.Mashup.OleDb.1;Data Source=$Workbook$;Location=Bielemantreffen;Extended Properties=&quot;&quot;" command="SELECT * FROM [Bielemantreffen]"/>
  </connection>
  <connection id="4" xr16:uid="{69259F06-DFDE-422F-B22F-34F5B8BA4F3C}" keepAlive="1" name="Query - FSD" description="Verbinding maken met de query FSD in de werkmap." type="5" refreshedVersion="8" background="1" saveData="1">
    <dbPr connection="Provider=Microsoft.Mashup.OleDb.1;Data Source=$Workbook$;Location=FSD;Extended Properties=&quot;&quot;" command="SELECT * FROM [FSD]"/>
  </connection>
  <connection id="5" xr16:uid="{29BD84AE-8F27-4908-A83C-7ED73E12DBA2}" keepAlive="1" name="Query - GKVI" description="Verbinding maken met de query GKVI in de werkmap." type="5" refreshedVersion="8" background="1" saveData="1">
    <dbPr connection="Provider=Microsoft.Mashup.OleDb.1;Data Source=$Workbook$;Location=GKVI;Extended Properties=&quot;&quot;" command="SELECT * FROM [GKVI]"/>
  </connection>
  <connection id="6" xr16:uid="{1625A445-E30E-4F48-A0F2-6C74EC2051F0}" keepAlive="1" name="Query - KDA" description="Verbinding maken met de query KDA in de werkmap." type="5" refreshedVersion="8" background="1" saveData="1">
    <dbPr connection="Provider=Microsoft.Mashup.OleDb.1;Data Source=$Workbook$;Location=KDA;Extended Properties=&quot;&quot;" command="SELECT * FROM [KDA]"/>
  </connection>
  <connection id="7" xr16:uid="{95A0D4BA-BB95-4202-94CF-7EEF29081440}" keepAlive="1" name="Query - KDL" description="Verbinding maken met de query KDL in de werkmap." type="5" refreshedVersion="8" background="1" saveData="1">
    <dbPr connection="Provider=Microsoft.Mashup.OleDb.1;Data Source=$Workbook$;Location=KDL;Extended Properties=&quot;&quot;" command="SELECT * FROM [KDL]"/>
  </connection>
  <connection id="8" xr16:uid="{6ECB9EB1-D1B9-490B-9D4B-7E83A861BE9B}" keepAlive="1" name="Query - KDM" description="Verbinding maken met de query KDM in de werkmap." type="5" refreshedVersion="8" background="1" saveData="1">
    <dbPr connection="Provider=Microsoft.Mashup.OleDb.1;Data Source=$Workbook$;Location=KDM;Extended Properties=&quot;&quot;" command="SELECT * FROM [KDM]"/>
  </connection>
  <connection id="9" xr16:uid="{1E5A8A6C-BF60-4AB0-BB7E-7F5846BE3EBD}" keepAlive="1" name="Query - KDRvNB" description="Verbinding maken met de query KDRvNB in de werkmap." type="5" refreshedVersion="8" background="1" saveData="1">
    <dbPr connection="Provider=Microsoft.Mashup.OleDb.1;Data Source=$Workbook$;Location=KDRvNB;Extended Properties=&quot;&quot;" command="SELECT * FROM [KDRvNB]"/>
  </connection>
  <connection id="10" xr16:uid="{CC620F3C-D390-418D-B8F5-4017A3B4A9F8}" keepAlive="1" name="Query - Kringdagen" description="Verbinding maken met de query Kringdagen in de werkmap." type="5" refreshedVersion="8" background="1" saveData="1">
    <dbPr connection="Provider=Microsoft.Mashup.OleDb.1;Data Source=$Workbook$;Location=Kringdagen;Extended Properties=&quot;&quot;" command="SELECT * FROM [Kringdagen]"/>
  </connection>
  <connection id="11" xr16:uid="{BC7C330E-ABF7-4BA8-A950-714863517EFF}" keepAlive="1" name="Query - LJ" description="Verbinding maken met de query LJ in de werkmap." type="5" refreshedVersion="8" background="1" saveData="1">
    <dbPr connection="Provider=Microsoft.Mashup.OleDb.1;Data Source=$Workbook$;Location=LJ;Extended Properties=&quot;&quot;" command="SELECT * FROM [LJ]"/>
  </connection>
  <connection id="12" xr16:uid="{9EB2A673-6133-4718-B17C-8DCFF9F6E361}" keepAlive="1" name="Query - Parameter1" description="Verbinding maken met de query Parameter1 in de werkmap." type="5" refreshedVersion="0" background="1">
    <dbPr connection="Provider=Microsoft.Mashup.OleDb.1;Data Source=$Workbook$;Location=Parameter1;Extended Properties=&quot;&quot;" command="SELECT * FROM [Parameter1]"/>
  </connection>
  <connection id="13" xr16:uid="{57415776-99A3-48CA-9AEB-5FAD9B307722}" keepAlive="1" name="Query - Parameter2" description="Verbinding maken met de query Parameter2 in de werkmap." type="5" refreshedVersion="0" background="1">
    <dbPr connection="Provider=Microsoft.Mashup.OleDb.1;Data Source=$Workbook$;Location=Parameter2;Extended Properties=&quot;&quot;" command="SELECT * FROM [Parameter2]"/>
  </connection>
  <connection id="14" xr16:uid="{14C00971-510E-4456-892D-616488EC8613}" keepAlive="1" name="Query - Voorbeeldbestand" description="Verbinding maken met de query Voorbeeldbestand in de werkmap." type="5" refreshedVersion="0" background="1">
    <dbPr connection="Provider=Microsoft.Mashup.OleDb.1;Data Source=$Workbook$;Location=Voorbeeldbestand;Extended Properties=&quot;&quot;" command="SELECT * FROM [Voorbeeldbestand]"/>
  </connection>
  <connection id="15" xr16:uid="{8850FBBF-3AFD-4368-8D31-E26F6D73CB6B}" keepAlive="1" name="Query - Voorbeeldbestand (2)" description="Verbinding maken met de query Voorbeeldbestand (2) in de werkmap." type="5" refreshedVersion="0" background="1">
    <dbPr connection="Provider=Microsoft.Mashup.OleDb.1;Data Source=$Workbook$;Location=&quot;Voorbeeldbestand (2)&quot;;Extended Properties=&quot;&quot;" command="SELECT * FROM [Voorbeeldbestand (2)]"/>
  </connection>
  <connection id="16" xr16:uid="{3E11B3C3-C94A-4FD2-871D-FF7D335D35BB}" keepAlive="1" name="Query - Voorbeeldbestand transformeren" description="Verbinding maken met de query Voorbeeldbestand transformeren in de werkmap." type="5" refreshedVersion="0" background="1">
    <dbPr connection="Provider=Microsoft.Mashup.OleDb.1;Data Source=$Workbook$;Location=&quot;Voorbeeldbestand transformeren&quot;;Extended Properties=&quot;&quot;" command="SELECT * FROM [Voorbeeldbestand transformeren]"/>
  </connection>
  <connection id="17" xr16:uid="{86331CA9-DD4F-4B74-AFC1-DF8CE4168860}" keepAlive="1" name="Query - Voorbeeldbestand transformeren (2)" description="Verbinding maken met de query Voorbeeldbestand transformeren (2) in de werkmap." type="5" refreshedVersion="0" background="1">
    <dbPr connection="Provider=Microsoft.Mashup.OleDb.1;Data Source=$Workbook$;Location=&quot;Voorbeeldbestand transformeren (2)&quot;;Extended Properties=&quot;&quot;" command="SELECT * FROM [Voorbeeldbestand transformeren (2)]"/>
  </connection>
</connections>
</file>

<file path=xl/sharedStrings.xml><?xml version="1.0" encoding="utf-8"?>
<sst xmlns="http://schemas.openxmlformats.org/spreadsheetml/2006/main" count="4645" uniqueCount="257">
  <si>
    <t>,</t>
  </si>
  <si>
    <t>Start</t>
  </si>
  <si>
    <t>Vendelen</t>
  </si>
  <si>
    <t>Muziek</t>
  </si>
  <si>
    <t>Maj.</t>
  </si>
  <si>
    <t>Bielemannen</t>
  </si>
  <si>
    <t>Mark.</t>
  </si>
  <si>
    <t>Schieten</t>
  </si>
  <si>
    <t>Overige gegevens</t>
  </si>
  <si>
    <t>Details muziek</t>
  </si>
  <si>
    <t>Details majorette</t>
  </si>
  <si>
    <t>Klassiek</t>
  </si>
  <si>
    <t>Acrobatish</t>
  </si>
  <si>
    <t>Show</t>
  </si>
  <si>
    <t>Individueel</t>
  </si>
  <si>
    <t>Hoofdkorps</t>
  </si>
  <si>
    <t>2e korps</t>
  </si>
  <si>
    <t>Kringdag</t>
  </si>
  <si>
    <t>Ver.nr</t>
  </si>
  <si>
    <t>Naam vereniging</t>
  </si>
  <si>
    <t>Delegatie</t>
  </si>
  <si>
    <t>Muziekkorps bij mars en defilé</t>
  </si>
  <si>
    <t>Deeln. jeugdkoningschieten</t>
  </si>
  <si>
    <t>Maj. Senioren jureren bij mars</t>
  </si>
  <si>
    <t>Maj. Jeugd jureren bij mars</t>
  </si>
  <si>
    <t>Korps senioren</t>
  </si>
  <si>
    <t>Acrobatisch senioren</t>
  </si>
  <si>
    <t>Acrobatisch junioren</t>
  </si>
  <si>
    <t>Acrobatisch aspiranten</t>
  </si>
  <si>
    <t>Show senioren</t>
  </si>
  <si>
    <t>Show junioren</t>
  </si>
  <si>
    <t>Show aspiranten</t>
  </si>
  <si>
    <t>Senioren indiv.</t>
  </si>
  <si>
    <t>Junioren indiv.</t>
  </si>
  <si>
    <t>Aspiranten indiv.</t>
  </si>
  <si>
    <t>Sen. ind opgegeven namen</t>
  </si>
  <si>
    <t>Jun. ind opgegeven namen</t>
  </si>
  <si>
    <t>Asp. ind opgegeven namen</t>
  </si>
  <si>
    <t>Senioren</t>
  </si>
  <si>
    <t>Junioren</t>
  </si>
  <si>
    <t>Aspiranten</t>
  </si>
  <si>
    <t>Marketentsters</t>
  </si>
  <si>
    <t>Luchtgeweer</t>
  </si>
  <si>
    <t>Luchtpistool</t>
  </si>
  <si>
    <t>Kruisboog</t>
  </si>
  <si>
    <t>Handboog</t>
  </si>
  <si>
    <t>Totaal aantal deelnemers</t>
  </si>
  <si>
    <t>Waarvan aantal jeugd (t/m 15 jaar)</t>
  </si>
  <si>
    <t>Kanon etc.</t>
  </si>
  <si>
    <t>Paarden en/of koetsen</t>
  </si>
  <si>
    <t>Toelichting/opmerkingen</t>
  </si>
  <si>
    <t>Inzending-ID</t>
  </si>
  <si>
    <t>Inzenddatum</t>
  </si>
  <si>
    <t>Naam van het hoofdkorps</t>
  </si>
  <si>
    <t>Zal op treden als (hoofdkorps)</t>
  </si>
  <si>
    <t>Vorm van twee muziekwerken (hoofdkorps)</t>
  </si>
  <si>
    <t>Zal uitkomen in de: (hoofdkorps)</t>
  </si>
  <si>
    <t>Muziekwerk1 (hoofdkorps)</t>
  </si>
  <si>
    <t>Muziekwerk2 (hoofdkorps)</t>
  </si>
  <si>
    <t>Korps bestaat uit ... deelnemers (hoofdkorps)</t>
  </si>
  <si>
    <t>Naam van het 2e korps</t>
  </si>
  <si>
    <t>Zal op treden als (2e korps)</t>
  </si>
  <si>
    <t>Vorm van twee muziekwerken (2e korps)</t>
  </si>
  <si>
    <t>Zal uitkomen in de: (2e korps)</t>
  </si>
  <si>
    <t>Muziekwerk1 (2e korps)</t>
  </si>
  <si>
    <t>Muziekwerk2 (2e korps)</t>
  </si>
  <si>
    <t>Korps bestaat uit ... deelnemers (2e korps)</t>
  </si>
  <si>
    <t>Onderdelen</t>
  </si>
  <si>
    <t>Secties</t>
  </si>
  <si>
    <t>Leeftijdscategorie</t>
  </si>
  <si>
    <t>Mechanische muziek</t>
  </si>
  <si>
    <t>Aantal opgegeven majorettes</t>
  </si>
  <si>
    <t>x</t>
  </si>
  <si>
    <t/>
  </si>
  <si>
    <t xml:space="preserve"> x</t>
  </si>
  <si>
    <t>Ja</t>
  </si>
  <si>
    <t>Twee stilstaande werken</t>
  </si>
  <si>
    <t>Superieure B (KNMO: tweede divisie)</t>
  </si>
  <si>
    <t>Korps</t>
  </si>
  <si>
    <t>Totaal</t>
  </si>
  <si>
    <t>Kringdag Montferland</t>
  </si>
  <si>
    <t>Kringdag de Liemers</t>
  </si>
  <si>
    <t>Kringdag de Achterhoek</t>
  </si>
  <si>
    <t>Kringdag Rijk van Nijmegen/de Betuwe</t>
  </si>
  <si>
    <t>Landjuweel</t>
  </si>
  <si>
    <t>12 juni 2022, E.M.M. Giesbeek</t>
  </si>
  <si>
    <t>Federatieve schuttersdag</t>
  </si>
  <si>
    <t>Vendelen korps</t>
  </si>
  <si>
    <t>Acrobatisch</t>
  </si>
  <si>
    <t>GKVI</t>
  </si>
  <si>
    <t>Ver.nr.</t>
  </si>
  <si>
    <t>Korps klassiek senioren</t>
  </si>
  <si>
    <t>Korps acrob. senioren</t>
  </si>
  <si>
    <t>Korps acrob. junioren</t>
  </si>
  <si>
    <t>Korps acrob. aspiranten</t>
  </si>
  <si>
    <t>Korps show senioren</t>
  </si>
  <si>
    <t>Korps show junioren</t>
  </si>
  <si>
    <t>Korps show aspiranten</t>
  </si>
  <si>
    <t>Opmerkingen</t>
  </si>
  <si>
    <t>Aantal deelnemers</t>
  </si>
  <si>
    <t>Hiervan is aspirant</t>
  </si>
  <si>
    <t>Aantal ver.</t>
  </si>
  <si>
    <t>BIEL</t>
  </si>
  <si>
    <t>Opmerkingen/toelichting</t>
  </si>
  <si>
    <t>Korps 1 klassiek junioren</t>
  </si>
  <si>
    <t>Korps 2 klassiek junioren</t>
  </si>
  <si>
    <t>Korps 1 klassiek aspiranten</t>
  </si>
  <si>
    <t>Korps 2 klassiek aspiranten</t>
  </si>
  <si>
    <t>Date Updated</t>
  </si>
  <si>
    <t>test vereniging</t>
  </si>
  <si>
    <t>Groepen, teams, ensembles en duo's</t>
  </si>
  <si>
    <t>Jong volwassene</t>
  </si>
  <si>
    <t>Opgegeven senioren</t>
  </si>
  <si>
    <t>Opgegeven jong volwassene</t>
  </si>
  <si>
    <t>Opgegeven junioren</t>
  </si>
  <si>
    <t>Opgegeven aspiranten</t>
  </si>
  <si>
    <t>Luchtgeweer jeugd niet ouder dan 17 jaar.</t>
  </si>
  <si>
    <t>Aantal korpsen</t>
  </si>
  <si>
    <t>Opgegeven jeugdkorpsen LG</t>
  </si>
  <si>
    <t>TEST</t>
  </si>
  <si>
    <t>Werk1</t>
  </si>
  <si>
    <t>werk2</t>
  </si>
  <si>
    <t>Aantal luchtgeweerschutters</t>
  </si>
  <si>
    <t>Aantal luchtpistoolschutters</t>
  </si>
  <si>
    <t>Aantal handboogschutters</t>
  </si>
  <si>
    <t>Aantal kruisboogschutters</t>
  </si>
  <si>
    <t>Junioren korps 1</t>
  </si>
  <si>
    <t>Junioren korps 2</t>
  </si>
  <si>
    <t>Aspiranten korps 1</t>
  </si>
  <si>
    <t>Aspiranten korps 2</t>
  </si>
  <si>
    <t>Schuttersgilde E.M.M. Lobith</t>
  </si>
  <si>
    <t>Ik kan geen namen invullen van personen die meedoen met het schieten (luchtgeweer en luchtpistool)
De vorige keer is dit ook al misgegaan en konden we niet mee schieten.</t>
  </si>
  <si>
    <t>Haaksbergsche Schutterij Haaksbergen</t>
  </si>
  <si>
    <t>Schutterij Wilhelmina Azewijn</t>
  </si>
  <si>
    <t>KDL2025</t>
  </si>
  <si>
    <t>KDA2025</t>
  </si>
  <si>
    <t>KDRVNB2025</t>
  </si>
  <si>
    <t>Gilde St. Salvator Mundi Nederasselt</t>
  </si>
  <si>
    <t>FSD2025</t>
  </si>
  <si>
    <t>25 mei 2025, Eensgezindheid Aerdt</t>
  </si>
  <si>
    <t>13 april 2025, De Eendracht Didam</t>
  </si>
  <si>
    <t>18 mei 2025, Schutterij De Eendracht Ulft</t>
  </si>
  <si>
    <t>22 juni 2025, St. Salvator Mundi Nederasselt</t>
  </si>
  <si>
    <t>21 september 2025, St. Isidorus Oud Dijk</t>
  </si>
  <si>
    <t>Gelders Kampioenschap Vendelen Indoor 30-3-2025</t>
  </si>
  <si>
    <t>De Eendracht Wehl</t>
  </si>
  <si>
    <t>Bielemantreffen 2025</t>
  </si>
  <si>
    <t>Zondag 26 oktober 2025, E.M.M. Giesbeek</t>
  </si>
  <si>
    <t>Het Gilde St. Oswaldus Stokkum</t>
  </si>
  <si>
    <t>Schuttersvereniging St. Antonius Lengel</t>
  </si>
  <si>
    <t>R.K. Schutterij St. Hubertus Groesbeek</t>
  </si>
  <si>
    <t>GKVI2025</t>
  </si>
  <si>
    <t>BIEL2025</t>
  </si>
  <si>
    <t>3004</t>
  </si>
  <si>
    <t>Schutterij St. Isidorus Oud-Dijk</t>
  </si>
  <si>
    <t>De Schanskloppers Lievelde</t>
  </si>
  <si>
    <t>Naar alle waarschijnlijkheid nemen wij deel met 2 tamboers of 1 persoon die de tamboerijn vast heeft. Dit ligt aan de bezetting. Nu nog onduidelijk. 
Commandant is afwezig tijdens concours ivm zwangerschapsverlof dus we zullen naar alle waarschijnlijkheid deelnemen zonder commandant.</t>
  </si>
  <si>
    <t>St. Damianus Gilde Niftrik</t>
  </si>
  <si>
    <t>Koning  St. Damianus  Joop Eichelsheim zal met het kringschieten meedoen.</t>
  </si>
  <si>
    <t>Schuttersgilde St. Sebastianus Gendt</t>
  </si>
  <si>
    <t>Wij doen wel mee met mars en defilé, maar buiten mededinging!
Bij de muziekwedstrijd hoeven we géén jurybeoordeling. We willen graag de show ergens aan publiek presenteren</t>
  </si>
  <si>
    <t>Showoptreden</t>
  </si>
  <si>
    <t>Superieure A (KNMO: eerste divisie)</t>
  </si>
  <si>
    <t>Gildeshow</t>
  </si>
  <si>
    <t>Drumband Schanskloppers Lievelde</t>
  </si>
  <si>
    <t>Naar alle waarschijnlijkheid nemen wij deel met 2 tamboers of 1 persoon die de tamboerijn vast heeft. Dit ligt aan de bezetting. Nu nog onduidelijk.</t>
  </si>
  <si>
    <t>Jong St. Sebastianus</t>
  </si>
  <si>
    <t>KDM2025</t>
  </si>
  <si>
    <t>Schutterij St. Jan Kilder</t>
  </si>
  <si>
    <t>Nee</t>
  </si>
  <si>
    <t>Jong St. Sebastianus Gendt</t>
  </si>
  <si>
    <t>Disney</t>
  </si>
  <si>
    <t>3010</t>
  </si>
  <si>
    <t>1833</t>
  </si>
  <si>
    <t>2014</t>
  </si>
  <si>
    <t>4023</t>
  </si>
  <si>
    <t>4009</t>
  </si>
  <si>
    <t>4008</t>
  </si>
  <si>
    <t>4027</t>
  </si>
  <si>
    <t>1014a</t>
  </si>
  <si>
    <t>1010</t>
  </si>
  <si>
    <t>1014</t>
  </si>
  <si>
    <t>1002</t>
  </si>
  <si>
    <t>1011</t>
  </si>
  <si>
    <t>1099</t>
  </si>
  <si>
    <t>4010</t>
  </si>
  <si>
    <t>3003</t>
  </si>
  <si>
    <t>Schutterij Wilhelmina Didam</t>
  </si>
  <si>
    <t>Duo1,Ensemble1,Ensemble2,Team1</t>
  </si>
  <si>
    <t>Sectie A,Sectie A,Sectie A,Sectie A</t>
  </si>
  <si>
    <t>Jeugd1,Senior,Senior,Senior</t>
  </si>
  <si>
    <t>1839</t>
  </si>
  <si>
    <t>2012</t>
  </si>
  <si>
    <t>Schutterij Willem Tell Loo</t>
  </si>
  <si>
    <t>aantal</t>
  </si>
  <si>
    <t xml:space="preserve">aantal </t>
  </si>
  <si>
    <t>Groep1</t>
  </si>
  <si>
    <t>Sectie A</t>
  </si>
  <si>
    <t>Jeugd1</t>
  </si>
  <si>
    <t>Senior</t>
  </si>
  <si>
    <t>1005</t>
  </si>
  <si>
    <t>Schuttersgenootschap Orde Eendracht Vreugde Millingen a/d Rijn</t>
  </si>
  <si>
    <t>1841</t>
  </si>
  <si>
    <t>3007</t>
  </si>
  <si>
    <t>R.K. Schutterij de Heegh Didam</t>
  </si>
  <si>
    <t>2004</t>
  </si>
  <si>
    <t>Schutterij Eendracht Maakt Macht Ooy-Zevenaar</t>
  </si>
  <si>
    <t>4014</t>
  </si>
  <si>
    <t>2007</t>
  </si>
  <si>
    <t>Schuttersgilde Vrede en Vriendschap Herwen</t>
  </si>
  <si>
    <t>1013</t>
  </si>
  <si>
    <t>Schuttersgilde St. Bavo Angeren</t>
  </si>
  <si>
    <t>4020</t>
  </si>
  <si>
    <t>Schuttersgilde Wals Wieken Milt Gendringen</t>
  </si>
  <si>
    <t>Dit concours organiseren we zelf. We willen de mars- en defiléwedstrijden zelf openen, maar willen niet gejureerd worden.</t>
  </si>
  <si>
    <t>Een marcherend en een stilstaand werk</t>
  </si>
  <si>
    <t>Ere-afdeling (KNMO: derde divisie)</t>
  </si>
  <si>
    <t>Street Swingers</t>
  </si>
  <si>
    <t>The Young Generation</t>
  </si>
  <si>
    <t>Drumfanfare St. Bavo Angeren</t>
  </si>
  <si>
    <t>Arnhem</t>
  </si>
  <si>
    <t>Bavomars</t>
  </si>
  <si>
    <t>Bij voorkeur 's-ochtends indelen</t>
  </si>
  <si>
    <t>1852</t>
  </si>
  <si>
    <t>2008</t>
  </si>
  <si>
    <t>Schuttersgilde Excelsior Lobith</t>
  </si>
  <si>
    <t>1007</t>
  </si>
  <si>
    <t>Schutterij Eendracht Ooij</t>
  </si>
  <si>
    <t>4016</t>
  </si>
  <si>
    <t>Onze Lieve Vrouwe Gilde Varsselder-Veldhunten</t>
  </si>
  <si>
    <t>1868</t>
  </si>
  <si>
    <t>3008</t>
  </si>
  <si>
    <t>Schutterij de Eendracht Nieuw-Wehl</t>
  </si>
  <si>
    <t>De Marketentsters komen ook mee. Zijn daar wedstrijden voor?</t>
  </si>
  <si>
    <t>2013</t>
  </si>
  <si>
    <t>Schutterij Eendracht Maakt Macht Giesbeek</t>
  </si>
  <si>
    <t>Schutterij "De Eendracht" Ulft</t>
  </si>
  <si>
    <t>4024</t>
  </si>
  <si>
    <t>Schuttersgilde St. Jan Keijenborg</t>
  </si>
  <si>
    <t>Veel succes met de organisatie!</t>
  </si>
  <si>
    <t>1873</t>
  </si>
  <si>
    <t>4017</t>
  </si>
  <si>
    <t>Schutterij De Eendracht Etten</t>
  </si>
  <si>
    <t>Hoi Tjebbe, ik zie dat je de jeudgleden qua schieten nog niet de namen kunt invullen? Die gaat nog wel gebeuren voor het concours?
Puur even als opmerking voor nu.
Majorettes doen wij wel mee aan de wedstrijden, deze vul ik voor 31 december nog in.</t>
  </si>
  <si>
    <t>4015</t>
  </si>
  <si>
    <t>Schuttersgilde St. Hubertus Ulft</t>
  </si>
  <si>
    <t>n.t.b.</t>
  </si>
  <si>
    <t>4019</t>
  </si>
  <si>
    <t>Schutterij St. Martinus Megchelen</t>
  </si>
  <si>
    <t>1015</t>
  </si>
  <si>
    <t>Gilden van St. Gangulphus en St. Laurentius Huissen</t>
  </si>
  <si>
    <t>korps</t>
  </si>
  <si>
    <t>Vaandelafdeling (KNMO: vierde divisie)</t>
  </si>
  <si>
    <t>nog niet bekent</t>
  </si>
  <si>
    <t>4013</t>
  </si>
  <si>
    <t>Schuttersgilde St. Joris Ulft</t>
  </si>
  <si>
    <t>1882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</si>
</sst>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sz val="8"/>
      <name val="Calibri"/>
      <family val="2"/>
      <scheme val="minor"/>
    </font>
    <font>
      <sz val="11"/>
      <color theme="0"/>
      <name val="Calibri"/>
      <family val="2"/>
      <scheme val="minor"/>
    </font>
    <font>
      <sz val="11"/>
      <name val="Calibri"/>
      <family val="2"/>
      <scheme val="minor"/>
    </font>
    <font>
      <b/>
      <sz val="11"/>
      <color theme="1"/>
      <name val="Calibri"/>
      <family val="2"/>
      <scheme val="minor"/>
    </font>
    <font>
      <b/>
      <sz val="11"/>
      <name val="Calibri"/>
      <family val="2"/>
      <scheme val="minor"/>
    </font>
    <font>
      <sz val="12"/>
      <color theme="1"/>
      <name val="Calibri"/>
      <family val="2"/>
      <scheme val="minor"/>
    </font>
    <font>
      <b/>
      <sz val="18"/>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4"/>
      <color theme="1"/>
      <name val="Calibri"/>
      <family val="2"/>
      <scheme val="minor"/>
    </font>
    <font>
      <sz val="11"/>
      <color rgb="FF000000"/>
      <name val="Calibri"/>
      <family val="2"/>
      <charset val="1"/>
    </font>
    <font>
      <b/>
      <sz val="11"/>
      <color rgb="FF000000"/>
      <name val="Calibri"/>
      <family val="2"/>
      <scheme val="minor"/>
    </font>
  </fonts>
  <fills count="4">
    <fill>
      <patternFill patternType="none"/>
    </fill>
    <fill>
      <patternFill patternType="gray125"/>
    </fill>
    <fill>
      <patternFill patternType="solid">
        <fgColor theme="9"/>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theme="9" tint="0.39997558519241921"/>
      </top>
      <bottom style="thin">
        <color theme="9" tint="0.3999755851924192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double">
        <color theme="9"/>
      </top>
      <bottom style="thin">
        <color theme="9" tint="0.39997558519241921"/>
      </bottom>
      <diagonal/>
    </border>
    <border>
      <left style="thin">
        <color indexed="64"/>
      </left>
      <right style="thin">
        <color indexed="64"/>
      </right>
      <top style="double">
        <color rgb="FF70AD47"/>
      </top>
      <bottom style="thin">
        <color rgb="FFA9D08E"/>
      </bottom>
      <diagonal/>
    </border>
  </borders>
  <cellStyleXfs count="2">
    <xf numFmtId="0" fontId="0" fillId="0" borderId="0"/>
    <xf numFmtId="0" fontId="7" fillId="0" borderId="0"/>
  </cellStyleXfs>
  <cellXfs count="183">
    <xf numFmtId="0" fontId="0" fillId="0" borderId="0" xfId="0"/>
    <xf numFmtId="0" fontId="0" fillId="0" borderId="0" xfId="0" applyAlignment="1">
      <alignment horizontal="center"/>
    </xf>
    <xf numFmtId="0" fontId="4" fillId="0" borderId="0" xfId="0" applyFont="1"/>
    <xf numFmtId="0" fontId="4" fillId="0" borderId="0" xfId="0" applyFont="1" applyAlignment="1">
      <alignment horizontal="right" vertical="top" textRotation="90"/>
    </xf>
    <xf numFmtId="0" fontId="4" fillId="0" borderId="0" xfId="0" applyFont="1" applyAlignment="1">
      <alignment horizontal="center" vertical="top" textRotation="90"/>
    </xf>
    <xf numFmtId="0" fontId="4" fillId="0" borderId="0" xfId="0" applyFont="1" applyAlignment="1">
      <alignment horizontal="center"/>
    </xf>
    <xf numFmtId="0" fontId="4" fillId="0" borderId="0" xfId="0" applyFont="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3" xfId="0" applyFont="1" applyBorder="1" applyAlignment="1">
      <alignment horizontal="center" vertical="top" textRotation="90"/>
    </xf>
    <xf numFmtId="0" fontId="4" fillId="0" borderId="5" xfId="0" applyFont="1" applyBorder="1" applyAlignment="1">
      <alignment horizontal="center" vertical="top" textRotation="90"/>
    </xf>
    <xf numFmtId="0" fontId="4" fillId="0" borderId="4" xfId="0" applyFont="1" applyBorder="1" applyAlignment="1">
      <alignment horizontal="center" vertical="top" textRotation="90"/>
    </xf>
    <xf numFmtId="0" fontId="3" fillId="0" borderId="5" xfId="0" applyFont="1" applyBorder="1" applyAlignment="1">
      <alignment horizontal="center" vertical="top" textRotation="90"/>
    </xf>
    <xf numFmtId="0" fontId="3" fillId="0" borderId="4" xfId="0" applyFont="1" applyBorder="1" applyAlignment="1">
      <alignment horizontal="center" vertical="top" textRotation="90"/>
    </xf>
    <xf numFmtId="0" fontId="4" fillId="0" borderId="2" xfId="0" applyFont="1" applyBorder="1" applyAlignment="1">
      <alignment horizontal="center" vertical="top" textRotation="90"/>
    </xf>
    <xf numFmtId="0" fontId="0" fillId="0" borderId="14" xfId="0" applyBorder="1"/>
    <xf numFmtId="0" fontId="0" fillId="0" borderId="14" xfId="0" applyBorder="1" applyAlignment="1">
      <alignment horizontal="center"/>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5" fillId="2" borderId="11" xfId="0" applyFont="1" applyFill="1" applyBorder="1" applyAlignment="1">
      <alignment horizontal="center" vertical="top"/>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0" borderId="14" xfId="0" applyFont="1" applyBorder="1"/>
    <xf numFmtId="0" fontId="5" fillId="0" borderId="14" xfId="0" applyFont="1" applyBorder="1" applyAlignment="1">
      <alignment horizontal="center"/>
    </xf>
    <xf numFmtId="0" fontId="6" fillId="0" borderId="14" xfId="0" applyFont="1" applyBorder="1" applyAlignment="1">
      <alignment horizontal="center"/>
    </xf>
    <xf numFmtId="0" fontId="5" fillId="0" borderId="15" xfId="0" applyFont="1" applyBorder="1" applyAlignment="1">
      <alignment horizontal="center"/>
    </xf>
    <xf numFmtId="0" fontId="5" fillId="0" borderId="0" xfId="0" applyFont="1"/>
    <xf numFmtId="0" fontId="0" fillId="0" borderId="0" xfId="0" applyAlignment="1">
      <alignment horizontal="center" vertical="top"/>
    </xf>
    <xf numFmtId="0" fontId="5" fillId="0" borderId="0" xfId="0" applyFont="1" applyAlignment="1">
      <alignment horizontal="center" vertical="top"/>
    </xf>
    <xf numFmtId="0" fontId="8" fillId="0" borderId="0" xfId="1" applyFont="1" applyAlignment="1">
      <alignment horizontal="left" vertical="top"/>
    </xf>
    <xf numFmtId="0" fontId="7" fillId="0" borderId="0" xfId="1"/>
    <xf numFmtId="0" fontId="8" fillId="0" borderId="0" xfId="1" applyFont="1" applyAlignment="1">
      <alignment vertical="top"/>
    </xf>
    <xf numFmtId="0" fontId="8" fillId="0" borderId="8" xfId="1" applyFont="1" applyBorder="1" applyAlignment="1">
      <alignment horizontal="left" vertical="top"/>
    </xf>
    <xf numFmtId="0" fontId="8" fillId="0" borderId="9" xfId="1" applyFont="1" applyBorder="1" applyAlignment="1">
      <alignment horizontal="left" vertical="top"/>
    </xf>
    <xf numFmtId="0" fontId="8" fillId="0" borderId="10" xfId="1" applyFont="1" applyBorder="1" applyAlignment="1">
      <alignment horizontal="left" vertical="top"/>
    </xf>
    <xf numFmtId="0" fontId="8" fillId="0" borderId="6" xfId="1" applyFont="1" applyBorder="1" applyAlignment="1">
      <alignment horizontal="left" vertical="top"/>
    </xf>
    <xf numFmtId="0" fontId="8" fillId="0" borderId="7" xfId="1" applyFont="1" applyBorder="1" applyAlignment="1">
      <alignment horizontal="left" vertical="top"/>
    </xf>
    <xf numFmtId="0" fontId="8" fillId="0" borderId="11" xfId="1" applyFont="1" applyBorder="1" applyAlignment="1">
      <alignment horizontal="left" vertical="top"/>
    </xf>
    <xf numFmtId="0" fontId="10" fillId="0" borderId="12" xfId="1" applyFont="1" applyBorder="1"/>
    <xf numFmtId="0" fontId="10" fillId="0" borderId="8" xfId="1" applyFont="1" applyBorder="1"/>
    <xf numFmtId="0" fontId="10" fillId="0" borderId="12" xfId="1" applyFont="1" applyBorder="1" applyAlignment="1">
      <alignment wrapText="1"/>
    </xf>
    <xf numFmtId="0" fontId="10" fillId="0" borderId="0" xfId="1" applyFont="1"/>
    <xf numFmtId="0" fontId="9" fillId="0" borderId="0" xfId="0" applyFont="1" applyAlignment="1">
      <alignment horizontal="center"/>
    </xf>
    <xf numFmtId="0" fontId="11" fillId="2" borderId="1" xfId="0" applyFont="1" applyFill="1" applyBorder="1"/>
    <xf numFmtId="0" fontId="11" fillId="2" borderId="1" xfId="0" applyFont="1" applyFill="1" applyBorder="1" applyAlignment="1">
      <alignment horizontal="center" wrapText="1"/>
    </xf>
    <xf numFmtId="0" fontId="4" fillId="0" borderId="8" xfId="0" applyFont="1" applyBorder="1" applyAlignment="1">
      <alignment vertical="top"/>
    </xf>
    <xf numFmtId="0" fontId="4" fillId="0" borderId="10" xfId="0" applyFont="1" applyBorder="1" applyAlignment="1">
      <alignment vertical="top"/>
    </xf>
    <xf numFmtId="0" fontId="4" fillId="0" borderId="9" xfId="0" applyFont="1" applyBorder="1" applyAlignment="1">
      <alignment horizontal="center" vertical="top" textRotation="90"/>
    </xf>
    <xf numFmtId="0" fontId="4" fillId="0" borderId="10" xfId="0" applyFont="1" applyBorder="1" applyAlignment="1">
      <alignment horizontal="center" vertical="top" textRotation="90"/>
    </xf>
    <xf numFmtId="0" fontId="4" fillId="0" borderId="8" xfId="0" applyFont="1" applyBorder="1" applyAlignment="1">
      <alignment horizontal="center" vertical="top" textRotation="90"/>
    </xf>
    <xf numFmtId="0" fontId="3" fillId="0" borderId="9" xfId="0" applyFont="1" applyBorder="1" applyAlignment="1">
      <alignment horizontal="center" vertical="top" textRotation="90"/>
    </xf>
    <xf numFmtId="0" fontId="3" fillId="0" borderId="10" xfId="0" applyFont="1" applyBorder="1" applyAlignment="1">
      <alignment horizontal="center" vertical="top" textRotation="90"/>
    </xf>
    <xf numFmtId="0" fontId="4" fillId="0" borderId="12" xfId="0" applyFont="1" applyBorder="1" applyAlignment="1">
      <alignment horizontal="center" vertical="top" textRotation="90"/>
    </xf>
    <xf numFmtId="22" fontId="0" fillId="0" borderId="14" xfId="0" applyNumberFormat="1" applyBorder="1"/>
    <xf numFmtId="0" fontId="0" fillId="0" borderId="14" xfId="0" applyBorder="1" applyAlignment="1">
      <alignment wrapText="1"/>
    </xf>
    <xf numFmtId="0" fontId="0" fillId="0" borderId="0" xfId="0" applyAlignment="1">
      <alignment wrapText="1"/>
    </xf>
    <xf numFmtId="0" fontId="5" fillId="2" borderId="7" xfId="0" applyFont="1" applyFill="1" applyBorder="1" applyAlignment="1">
      <alignment horizontal="center" wrapText="1"/>
    </xf>
    <xf numFmtId="0" fontId="0" fillId="0" borderId="0" xfId="0" applyAlignment="1">
      <alignment horizontal="center" wrapText="1"/>
    </xf>
    <xf numFmtId="0" fontId="4" fillId="0" borderId="9" xfId="0" applyFont="1" applyBorder="1" applyAlignment="1">
      <alignment wrapText="1"/>
    </xf>
    <xf numFmtId="0" fontId="5" fillId="0" borderId="16" xfId="0" applyFont="1" applyBorder="1" applyAlignment="1">
      <alignment wrapText="1"/>
    </xf>
    <xf numFmtId="0" fontId="8" fillId="0" borderId="0" xfId="1" applyFont="1" applyAlignment="1">
      <alignment horizontal="left" vertical="top" wrapText="1"/>
    </xf>
    <xf numFmtId="0" fontId="8" fillId="0" borderId="8" xfId="1" applyFont="1" applyBorder="1" applyAlignment="1">
      <alignment vertical="top" wrapText="1"/>
    </xf>
    <xf numFmtId="0" fontId="8" fillId="0" borderId="6" xfId="1" applyFont="1" applyBorder="1" applyAlignment="1">
      <alignment vertical="top" wrapText="1"/>
    </xf>
    <xf numFmtId="0" fontId="7" fillId="0" borderId="0" xfId="1" applyAlignment="1">
      <alignment wrapText="1"/>
    </xf>
    <xf numFmtId="0" fontId="0" fillId="0" borderId="0" xfId="0" applyAlignment="1">
      <alignment horizontal="left"/>
    </xf>
    <xf numFmtId="1" fontId="0" fillId="0" borderId="0" xfId="0" applyNumberFormat="1"/>
    <xf numFmtId="0" fontId="12" fillId="0" borderId="0" xfId="0" applyFont="1" applyAlignment="1">
      <alignment horizontal="center" vertical="center"/>
    </xf>
    <xf numFmtId="0" fontId="12" fillId="0" borderId="0" xfId="0" applyFont="1" applyAlignment="1">
      <alignment horizontal="center"/>
    </xf>
    <xf numFmtId="0" fontId="5" fillId="2" borderId="0" xfId="0" applyFont="1" applyFill="1" applyAlignment="1">
      <alignment horizontal="center" vertical="top"/>
    </xf>
    <xf numFmtId="0" fontId="5" fillId="0" borderId="0" xfId="0" applyFont="1" applyAlignment="1">
      <alignment horizontal="center"/>
    </xf>
    <xf numFmtId="0" fontId="8" fillId="0" borderId="0" xfId="1" applyFont="1" applyAlignment="1">
      <alignment horizontal="center" vertical="top"/>
    </xf>
    <xf numFmtId="0" fontId="4" fillId="0" borderId="2" xfId="0" applyFont="1" applyBorder="1" applyAlignment="1">
      <alignment vertical="top"/>
    </xf>
    <xf numFmtId="0" fontId="4" fillId="0" borderId="3" xfId="0" applyFont="1" applyBorder="1" applyAlignment="1">
      <alignment horizontal="right" vertical="top" textRotation="90"/>
    </xf>
    <xf numFmtId="1" fontId="0" fillId="0" borderId="0" xfId="0" applyNumberFormat="1" applyAlignment="1">
      <alignment horizontal="center"/>
    </xf>
    <xf numFmtId="0" fontId="5" fillId="3" borderId="0" xfId="0" applyFont="1" applyFill="1" applyAlignment="1">
      <alignment horizontal="center" vertical="top"/>
    </xf>
    <xf numFmtId="0" fontId="0" fillId="0" borderId="20" xfId="0" applyBorder="1"/>
    <xf numFmtId="0" fontId="13" fillId="0" borderId="0" xfId="0" applyFont="1"/>
    <xf numFmtId="0" fontId="11" fillId="2" borderId="0" xfId="0" applyFont="1" applyFill="1"/>
    <xf numFmtId="0" fontId="8" fillId="0" borderId="9" xfId="1" applyFont="1" applyBorder="1" applyAlignment="1">
      <alignment vertical="top" wrapText="1"/>
    </xf>
    <xf numFmtId="0" fontId="8" fillId="0" borderId="7" xfId="1" applyFont="1" applyBorder="1" applyAlignment="1">
      <alignment vertical="top" wrapText="1"/>
    </xf>
    <xf numFmtId="0" fontId="0" fillId="0" borderId="0" xfId="0" applyAlignment="1">
      <alignment horizontal="center" vertical="center"/>
    </xf>
    <xf numFmtId="22" fontId="0" fillId="0" borderId="0" xfId="0" applyNumberFormat="1"/>
    <xf numFmtId="0" fontId="5" fillId="2" borderId="3" xfId="0" applyFont="1" applyFill="1" applyBorder="1"/>
    <xf numFmtId="0" fontId="5" fillId="2" borderId="5" xfId="0" applyFont="1" applyFill="1" applyBorder="1"/>
    <xf numFmtId="0" fontId="5" fillId="2" borderId="4" xfId="0" applyFont="1" applyFill="1" applyBorder="1"/>
    <xf numFmtId="0" fontId="4" fillId="0" borderId="0" xfId="0" applyFont="1" applyAlignment="1">
      <alignment horizontal="left"/>
    </xf>
    <xf numFmtId="0" fontId="3" fillId="0" borderId="0" xfId="0" applyFont="1" applyAlignment="1">
      <alignment horizontal="center"/>
    </xf>
    <xf numFmtId="0" fontId="4" fillId="0" borderId="0" xfId="0" applyFont="1" applyAlignment="1">
      <alignment wrapText="1"/>
    </xf>
    <xf numFmtId="0" fontId="0" fillId="0" borderId="5" xfId="0" applyBorder="1" applyAlignment="1">
      <alignment vertical="top" textRotation="90"/>
    </xf>
    <xf numFmtId="0" fontId="5" fillId="2" borderId="8" xfId="0" applyFont="1" applyFill="1" applyBorder="1" applyAlignment="1">
      <alignment vertical="top"/>
    </xf>
    <xf numFmtId="0" fontId="5" fillId="2" borderId="9" xfId="0" applyFont="1" applyFill="1" applyBorder="1" applyAlignment="1">
      <alignment vertical="top"/>
    </xf>
    <xf numFmtId="0" fontId="5" fillId="2" borderId="10" xfId="0" applyFont="1" applyFill="1" applyBorder="1" applyAlignment="1">
      <alignment vertical="top"/>
    </xf>
    <xf numFmtId="0" fontId="4" fillId="0" borderId="5" xfId="0" applyFont="1" applyBorder="1" applyAlignment="1">
      <alignment vertical="top" wrapText="1"/>
    </xf>
    <xf numFmtId="0" fontId="5" fillId="2" borderId="7" xfId="0" applyFont="1" applyFill="1" applyBorder="1"/>
    <xf numFmtId="0" fontId="5" fillId="2" borderId="11" xfId="0" applyFont="1" applyFill="1" applyBorder="1"/>
    <xf numFmtId="0" fontId="0" fillId="0" borderId="4" xfId="0" applyBorder="1" applyAlignment="1">
      <alignment vertical="top" textRotation="90"/>
    </xf>
    <xf numFmtId="22" fontId="0" fillId="0" borderId="0" xfId="0" applyNumberFormat="1" applyAlignment="1">
      <alignment horizontal="center"/>
    </xf>
    <xf numFmtId="14" fontId="0" fillId="0" borderId="0" xfId="0" applyNumberFormat="1"/>
    <xf numFmtId="49" fontId="4" fillId="0" borderId="0" xfId="0" applyNumberFormat="1" applyFont="1" applyAlignment="1">
      <alignment horizontal="center"/>
    </xf>
    <xf numFmtId="0" fontId="5" fillId="2" borderId="5" xfId="0" applyFont="1" applyFill="1" applyBorder="1" applyAlignment="1">
      <alignment vertical="center"/>
    </xf>
    <xf numFmtId="0" fontId="5" fillId="2" borderId="4" xfId="0" applyFont="1" applyFill="1" applyBorder="1" applyAlignment="1">
      <alignment vertical="center"/>
    </xf>
    <xf numFmtId="0" fontId="4" fillId="0" borderId="5" xfId="0" applyFont="1" applyBorder="1" applyAlignment="1">
      <alignment horizontal="left" vertical="top" wrapText="1"/>
    </xf>
    <xf numFmtId="0" fontId="5" fillId="2" borderId="7" xfId="0" applyFont="1" applyFill="1" applyBorder="1" applyAlignment="1">
      <alignment horizontal="left" wrapText="1"/>
    </xf>
    <xf numFmtId="0" fontId="4" fillId="0" borderId="5" xfId="0" applyFont="1" applyBorder="1" applyAlignment="1">
      <alignment horizontal="left" wrapText="1"/>
    </xf>
    <xf numFmtId="0" fontId="5" fillId="2" borderId="5" xfId="0" applyFont="1" applyFill="1" applyBorder="1" applyAlignment="1">
      <alignment horizontal="center"/>
    </xf>
    <xf numFmtId="0" fontId="5" fillId="2" borderId="4" xfId="0" applyFont="1" applyFill="1" applyBorder="1" applyAlignment="1">
      <alignment horizontal="center"/>
    </xf>
    <xf numFmtId="0" fontId="5" fillId="2" borderId="8" xfId="0" applyFont="1" applyFill="1" applyBorder="1" applyAlignment="1">
      <alignment horizontal="center" vertical="top"/>
    </xf>
    <xf numFmtId="0" fontId="5" fillId="2" borderId="10" xfId="0" applyFont="1" applyFill="1" applyBorder="1" applyAlignment="1">
      <alignment horizontal="center" vertical="top"/>
    </xf>
    <xf numFmtId="0" fontId="10" fillId="0" borderId="1" xfId="1" applyFont="1" applyBorder="1" applyAlignment="1">
      <alignment textRotation="90" wrapText="1"/>
    </xf>
    <xf numFmtId="0" fontId="10" fillId="0" borderId="9" xfId="1" applyFont="1" applyBorder="1" applyAlignment="1">
      <alignment textRotation="90"/>
    </xf>
    <xf numFmtId="0" fontId="10" fillId="0" borderId="10" xfId="1" applyFont="1" applyBorder="1" applyAlignment="1">
      <alignment textRotation="90"/>
    </xf>
    <xf numFmtId="0" fontId="10" fillId="0" borderId="1" xfId="1" applyFont="1" applyBorder="1" applyAlignment="1">
      <alignment horizontal="center" textRotation="90" wrapText="1"/>
    </xf>
    <xf numFmtId="0" fontId="4" fillId="0" borderId="1" xfId="0" applyFont="1" applyBorder="1" applyAlignment="1">
      <alignment horizontal="center" textRotation="90" wrapText="1"/>
    </xf>
    <xf numFmtId="0" fontId="5" fillId="0" borderId="26" xfId="0" applyFont="1" applyBorder="1" applyAlignment="1">
      <alignment horizontal="center"/>
    </xf>
    <xf numFmtId="0" fontId="14" fillId="0" borderId="27" xfId="0" applyFont="1" applyBorder="1" applyAlignment="1">
      <alignment horizontal="center"/>
    </xf>
    <xf numFmtId="0" fontId="0" fillId="0" borderId="4" xfId="0" applyBorder="1" applyAlignment="1">
      <alignment horizontal="center" vertical="top" textRotation="90"/>
    </xf>
    <xf numFmtId="0" fontId="5" fillId="2" borderId="7" xfId="0" applyFont="1" applyFill="1" applyBorder="1" applyAlignment="1">
      <alignment horizontal="center" vertical="center"/>
    </xf>
    <xf numFmtId="0" fontId="4" fillId="0" borderId="5" xfId="0" applyFont="1" applyBorder="1" applyAlignment="1">
      <alignment horizontal="center" vertical="center" textRotation="90"/>
    </xf>
    <xf numFmtId="0" fontId="4" fillId="0" borderId="0" xfId="0" applyFont="1" applyAlignment="1">
      <alignment horizontal="center" vertical="center" textRotation="90"/>
    </xf>
    <xf numFmtId="0" fontId="5" fillId="2" borderId="6" xfId="0" applyFont="1" applyFill="1" applyBorder="1"/>
    <xf numFmtId="0" fontId="0" fillId="0" borderId="5" xfId="0" applyBorder="1" applyAlignment="1">
      <alignment horizontal="center" vertical="top" textRotation="90"/>
    </xf>
    <xf numFmtId="0" fontId="5" fillId="2" borderId="10" xfId="0" applyFont="1" applyFill="1" applyBorder="1" applyAlignment="1">
      <alignment horizontal="left"/>
    </xf>
    <xf numFmtId="0" fontId="5" fillId="2" borderId="11" xfId="0" applyFont="1" applyFill="1" applyBorder="1" applyAlignment="1">
      <alignment horizontal="left"/>
    </xf>
    <xf numFmtId="0" fontId="4" fillId="0" borderId="4" xfId="0" applyFont="1" applyBorder="1" applyAlignment="1">
      <alignment horizontal="left" vertical="top"/>
    </xf>
    <xf numFmtId="0" fontId="5" fillId="0" borderId="0" xfId="0" applyFont="1" applyAlignment="1">
      <alignment horizontal="left"/>
    </xf>
    <xf numFmtId="0" fontId="0" fillId="0" borderId="20" xfId="0" applyBorder="1" applyAlignment="1">
      <alignment horizontal="left"/>
    </xf>
    <xf numFmtId="0" fontId="0" fillId="0" borderId="0" xfId="0" applyAlignment="1">
      <alignment horizontal="right"/>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3" xfId="0" applyFont="1" applyFill="1" applyBorder="1" applyAlignment="1">
      <alignment horizontal="center"/>
    </xf>
    <xf numFmtId="0" fontId="5" fillId="2" borderId="5" xfId="0" applyFont="1" applyFill="1" applyBorder="1" applyAlignment="1">
      <alignment horizontal="center"/>
    </xf>
    <xf numFmtId="0" fontId="5" fillId="2" borderId="4" xfId="0" applyFont="1" applyFill="1" applyBorder="1" applyAlignment="1">
      <alignment horizont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xf>
    <xf numFmtId="0" fontId="12" fillId="0" borderId="0" xfId="0" applyFont="1" applyAlignment="1">
      <alignment horizont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5" fillId="2" borderId="10" xfId="0" applyFont="1" applyFill="1" applyBorder="1" applyAlignment="1">
      <alignment horizontal="center" vertical="top"/>
    </xf>
    <xf numFmtId="0" fontId="8" fillId="0" borderId="24" xfId="1" applyFont="1" applyBorder="1" applyAlignment="1">
      <alignment horizontal="center" vertical="top"/>
    </xf>
    <xf numFmtId="0" fontId="8" fillId="0" borderId="0" xfId="1" applyFont="1" applyAlignment="1">
      <alignment horizontal="center" vertical="top"/>
    </xf>
    <xf numFmtId="0" fontId="8" fillId="0" borderId="25" xfId="1" applyFont="1" applyBorder="1" applyAlignment="1">
      <alignment horizontal="center" vertical="top"/>
    </xf>
    <xf numFmtId="0" fontId="8" fillId="0" borderId="6" xfId="1" applyFont="1" applyBorder="1" applyAlignment="1">
      <alignment horizontal="center" vertical="top"/>
    </xf>
    <xf numFmtId="0" fontId="8" fillId="0" borderId="7" xfId="1" applyFont="1" applyBorder="1" applyAlignment="1">
      <alignment horizontal="center" vertical="top"/>
    </xf>
    <xf numFmtId="0" fontId="9" fillId="0" borderId="17" xfId="1" applyFont="1" applyBorder="1" applyAlignment="1">
      <alignment horizontal="center" vertical="top"/>
    </xf>
    <xf numFmtId="0" fontId="9" fillId="0" borderId="18" xfId="1" applyFont="1" applyBorder="1" applyAlignment="1">
      <alignment horizontal="center" vertical="top"/>
    </xf>
    <xf numFmtId="0" fontId="9" fillId="0" borderId="19" xfId="1" applyFont="1" applyBorder="1" applyAlignment="1">
      <alignment horizontal="center" vertical="top"/>
    </xf>
    <xf numFmtId="0" fontId="8" fillId="0" borderId="17" xfId="1" applyFont="1" applyBorder="1" applyAlignment="1">
      <alignment horizontal="center" vertical="top"/>
    </xf>
    <xf numFmtId="0" fontId="8" fillId="0" borderId="18" xfId="1" applyFont="1" applyBorder="1" applyAlignment="1">
      <alignment horizontal="center" vertical="top"/>
    </xf>
    <xf numFmtId="0" fontId="8" fillId="0" borderId="21" xfId="1" applyFont="1" applyBorder="1" applyAlignment="1">
      <alignment horizontal="center" vertical="top"/>
    </xf>
    <xf numFmtId="0" fontId="8" fillId="0" borderId="22" xfId="1" applyFont="1" applyBorder="1" applyAlignment="1">
      <alignment horizontal="center" vertical="top"/>
    </xf>
    <xf numFmtId="0" fontId="8" fillId="0" borderId="23" xfId="1" applyFont="1" applyBorder="1" applyAlignment="1">
      <alignment horizontal="center" vertical="top"/>
    </xf>
    <xf numFmtId="0" fontId="8" fillId="0" borderId="0" xfId="0" applyFont="1" applyAlignment="1">
      <alignment horizontal="center"/>
    </xf>
    <xf numFmtId="0" fontId="9" fillId="0" borderId="0" xfId="0" applyFont="1" applyAlignment="1">
      <alignment horizontal="center"/>
    </xf>
    <xf numFmtId="0" fontId="0" fillId="0" borderId="0" xfId="0" applyNumberFormat="1"/>
    <xf numFmtId="0" fontId="0" fillId="0" borderId="0" xfId="0" applyNumberFormat="1" applyAlignment="1">
      <alignment horizontal="center"/>
    </xf>
    <xf numFmtId="0" fontId="0" fillId="0" borderId="0" xfId="0" applyNumberFormat="1" applyAlignment="1">
      <alignment horizontal="left" wrapText="1"/>
    </xf>
    <xf numFmtId="0" fontId="0" fillId="0" borderId="0" xfId="0" applyAlignment="1"/>
    <xf numFmtId="0" fontId="1" fillId="0" borderId="14" xfId="0" applyFont="1" applyBorder="1"/>
    <xf numFmtId="0" fontId="1" fillId="0" borderId="14" xfId="0" applyFont="1" applyBorder="1" applyAlignment="1">
      <alignment horizontal="center"/>
    </xf>
    <xf numFmtId="0" fontId="1" fillId="0" borderId="14" xfId="0" applyFont="1" applyBorder="1" applyAlignment="1">
      <alignment wrapText="1"/>
    </xf>
    <xf numFmtId="22" fontId="7" fillId="0" borderId="14" xfId="1" applyNumberFormat="1" applyFill="1" applyBorder="1"/>
    <xf numFmtId="0" fontId="7" fillId="0" borderId="14" xfId="1" applyFill="1" applyBorder="1"/>
    <xf numFmtId="0" fontId="7" fillId="0" borderId="14" xfId="1" applyNumberFormat="1" applyFill="1" applyBorder="1"/>
    <xf numFmtId="0" fontId="7" fillId="0" borderId="14" xfId="1" applyFill="1" applyBorder="1" applyAlignment="1">
      <alignment horizontal="center"/>
    </xf>
    <xf numFmtId="0" fontId="7" fillId="0" borderId="0" xfId="1" applyFill="1" applyAlignment="1">
      <alignment horizontal="center" vertical="center"/>
    </xf>
    <xf numFmtId="0" fontId="7" fillId="0" borderId="14" xfId="1" applyNumberFormat="1" applyFill="1" applyBorder="1" applyAlignment="1">
      <alignment horizontal="center"/>
    </xf>
    <xf numFmtId="0" fontId="7" fillId="0" borderId="14" xfId="1" applyFill="1" applyBorder="1" applyAlignment="1">
      <alignment wrapText="1"/>
    </xf>
    <xf numFmtId="22" fontId="7" fillId="0" borderId="0" xfId="1" applyNumberFormat="1" applyFill="1"/>
  </cellXfs>
  <cellStyles count="2">
    <cellStyle name="Standaard" xfId="0" builtinId="0"/>
    <cellStyle name="Standaard 2" xfId="1" xr:uid="{F19B0B72-0ABE-41BD-B88E-C05ECC626655}"/>
  </cellStyles>
  <dxfs count="859">
    <dxf>
      <numFmt numFmtId="27" formatCode="dd/mm/yyyy\ hh:mm"/>
    </dxf>
    <dxf>
      <numFmt numFmtId="27" formatCode="dd/mm/yyyy\ hh:mm"/>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diagonalUp="0" diagonalDown="0" outline="0">
        <left style="thin">
          <color indexed="64"/>
        </left>
        <right style="thin">
          <color indexed="64"/>
        </right>
        <top/>
        <bottom/>
      </border>
    </dxf>
    <dxf>
      <border diagonalUp="0" diagonalDown="0" outline="0">
        <left style="thin">
          <color indexed="64"/>
        </left>
        <right style="thin">
          <color indexed="64"/>
        </right>
        <top/>
        <bottom/>
      </border>
    </dxf>
    <dxf>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outline="0">
        <left style="thin">
          <color indexed="64"/>
        </left>
        <right style="thin">
          <color indexed="64"/>
        </right>
        <top/>
        <bottom/>
      </border>
    </dxf>
    <dxf>
      <border diagonalUp="0" diagonalDown="0" outline="0">
        <left style="thin">
          <color indexed="64"/>
        </left>
        <right style="thin">
          <color indexed="64"/>
        </right>
        <top/>
        <bottom/>
      </border>
    </dxf>
    <dxf>
      <border diagonalUp="0" diagonalDown="0" outline="0">
        <left style="thin">
          <color indexed="64"/>
        </left>
        <right style="thin">
          <color indexed="64"/>
        </right>
        <top/>
        <bottom/>
      </border>
    </dxf>
    <dxf>
      <numFmt numFmtId="27" formatCode="dd/mm/yyyy\ hh:mm"/>
      <fill>
        <patternFill patternType="none">
          <fgColor indexed="64"/>
          <bgColor indexed="65"/>
        </patternFill>
      </fill>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horizontal/>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border diagonalUp="0" diagonalDown="0">
        <left style="thin">
          <color indexed="64"/>
        </left>
        <right style="thin">
          <color indexed="64"/>
        </right>
        <top/>
        <bottom/>
        <vertical/>
        <horizontal/>
      </border>
    </dxf>
    <dxf>
      <numFmt numFmtId="0" formatCode="General"/>
      <fill>
        <patternFill patternType="none">
          <fgColor indexed="64"/>
          <bgColor indexed="65"/>
        </patternFill>
      </fill>
      <border diagonalUp="0" diagonalDown="0">
        <left style="thin">
          <color indexed="64"/>
        </left>
        <right style="thin">
          <color indexed="64"/>
        </right>
        <top/>
        <bottom/>
        <vertical/>
        <horizontal/>
      </border>
    </dxf>
    <dxf>
      <fill>
        <patternFill patternType="none">
          <fgColor indexed="64"/>
          <bgColor indexed="65"/>
        </patternFill>
      </fill>
      <border diagonalUp="0" diagonalDown="0">
        <left style="thin">
          <color indexed="64"/>
        </left>
        <right style="thin">
          <color indexed="64"/>
        </right>
        <top/>
        <bottom/>
        <vertical/>
        <horizontal/>
      </border>
    </dxf>
    <dxf>
      <numFmt numFmtId="27" formatCode="dd/mm/yyyy\ hh:mm"/>
      <fill>
        <patternFill patternType="none">
          <fgColor indexed="64"/>
          <bgColor indexed="65"/>
        </patternFill>
      </fill>
      <border diagonalUp="0" diagonalDown="0">
        <left style="thin">
          <color indexed="64"/>
        </left>
        <right style="thin">
          <color indexed="64"/>
        </right>
        <top/>
        <bottom/>
        <vertical/>
        <horizontal/>
      </border>
    </dxf>
    <dxf>
      <numFmt numFmtId="0" formatCode="General"/>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27" formatCode="dd/mm/yyyy\ hh:mm"/>
    </dxf>
    <dxf>
      <numFmt numFmtId="27" formatCode="dd/mm/yyyy\ hh:mm"/>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left" vertical="bottom" textRotation="0" wrapText="1"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double">
          <color rgb="FF70AD47"/>
        </top>
        <bottom style="thin">
          <color rgb="FFA9D08E"/>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27" formatCode="dd/mm/yyyy\ hh:mm"/>
    </dxf>
    <dxf>
      <numFmt numFmtId="27" formatCode="dd/mm/yyyy\ hh:mm"/>
      <border diagonalUp="0" diagonalDown="0">
        <left style="thin">
          <color indexed="64"/>
        </left>
        <right style="thin">
          <color indexed="64"/>
        </right>
        <top/>
        <bottom/>
        <vertical/>
        <horizontal/>
      </border>
    </dxf>
    <dxf>
      <numFmt numFmtId="0" formatCode="General"/>
      <border diagonalUp="0" diagonalDown="0">
        <left style="thin">
          <color indexed="64"/>
        </left>
        <right style="thin">
          <color indexed="64"/>
        </right>
        <top/>
        <bottom/>
        <vertical/>
        <horizontal/>
      </border>
    </dxf>
    <dxf>
      <alignment horizontal="general" vertical="bottom" textRotation="0" wrapText="1"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alignment horizontal="center"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0" formatCode="General"/>
      <border diagonalUp="0" diagonalDown="0">
        <left style="thin">
          <color indexed="64"/>
        </left>
        <right style="thin">
          <color indexed="64"/>
        </right>
        <top/>
        <bottom/>
        <vertical/>
        <horizontal/>
      </border>
    </dxf>
    <dxf>
      <numFmt numFmtId="0" formatCode="General"/>
      <border diagonalUp="0" diagonalDown="0">
        <left style="thin">
          <color indexed="64"/>
        </left>
        <right style="thin">
          <color indexed="64"/>
        </right>
        <top/>
        <bottom/>
        <vertical/>
        <horizontal/>
      </border>
    </dxf>
    <dxf>
      <numFmt numFmtId="0" formatCode="General"/>
      <border diagonalUp="0" diagonalDown="0">
        <left style="thin">
          <color indexed="64"/>
        </left>
        <right style="thin">
          <color indexed="64"/>
        </right>
        <top/>
        <bottom/>
        <vertical/>
        <horizontal/>
      </border>
    </dxf>
    <dxf>
      <numFmt numFmtId="0" formatCode="General"/>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0" formatCode="General"/>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27" formatCode="dd/mm/yyyy\ hh:mm"/>
    </dxf>
    <dxf>
      <numFmt numFmtId="27" formatCode="dd/mm/yyyy\ hh:mm"/>
    </dxf>
    <dxf>
      <numFmt numFmtId="0" formatCode="General"/>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double">
          <color rgb="FF70AD47"/>
        </top>
        <bottom style="thin">
          <color rgb="FFA9D08E"/>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27" formatCode="dd/mm/yyyy\ hh:mm"/>
    </dxf>
    <dxf>
      <numFmt numFmtId="27" formatCode="dd/mm/yyyy\ hh:mm"/>
    </dxf>
    <dxf>
      <numFmt numFmtId="0" formatCode="General"/>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double">
          <color rgb="FF70AD47"/>
        </top>
        <bottom style="thin">
          <color rgb="FFA9D08E"/>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27" formatCode="dd/mm/yyyy\ hh:mm"/>
    </dxf>
    <dxf>
      <numFmt numFmtId="27" formatCode="dd/mm/yyyy\ hh:mm"/>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left" vertical="bottom" textRotation="0" wrapText="1"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7" formatCode="dd/mm/yyyy\ hh:mm"/>
    </dxf>
    <dxf>
      <numFmt numFmtId="27" formatCode="dd/mm/yyyy\ hh:mm"/>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double">
          <color rgb="FF70AD47"/>
        </top>
        <bottom style="thin">
          <color rgb="FFA9D08E"/>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7" formatCode="dd/mm/yyyy\ hh:mm"/>
    </dxf>
    <dxf>
      <numFmt numFmtId="19" formatCode="dd/mm/yyyy"/>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center" textRotation="9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alignment horizontal="righ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double">
          <color rgb="FF70AD47"/>
        </top>
        <bottom style="thin">
          <color rgb="FFA9D08E"/>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2"/>
        <color auto="1"/>
        <name val="Calibri"/>
        <family val="2"/>
        <scheme val="minor"/>
      </font>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
      <numFmt numFmtId="0" formatCode="General"/>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
      <numFmt numFmtId="0" formatCode="General"/>
    </dxf>
    <dxf>
      <numFmt numFmtId="0" formatCode="General"/>
    </dxf>
    <dxf>
      <numFmt numFmtId="0" formatCode="General"/>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
      <alignment horizontal="center" vertical="bottom" textRotation="0" wrapText="0" indent="0" justifyLastLine="0" shrinkToFit="0" readingOrder="0"/>
    </dxf>
    <dxf>
      <font>
        <b val="0"/>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9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0" xr16:uid="{6537445D-4453-4DB0-8316-9E9DEF947177}" autoFormatId="16" applyNumberFormats="0" applyBorderFormats="0" applyFontFormats="0" applyPatternFormats="0" applyAlignmentFormats="0" applyWidthHeightFormats="0">
  <queryTableRefresh nextId="118">
    <queryTableFields count="75">
      <queryTableField id="1" name="Kringdag" tableColumnId="1"/>
      <queryTableField id="2" name="Ver.nr" tableColumnId="2"/>
      <queryTableField id="3" name="Naam vereniging" tableColumnId="3"/>
      <queryTableField id="4" name="Delegatie" tableColumnId="4"/>
      <queryTableField id="5" name="Muziekkorps bij mars en defilé" tableColumnId="5"/>
      <queryTableField id="6" name="Deeln. jeugdkoningschieten" tableColumnId="6"/>
      <queryTableField id="7" name="Maj. Senioren jureren bij mars" tableColumnId="7"/>
      <queryTableField id="8" name="Maj. Jeugd jureren bij mars" tableColumnId="8"/>
      <queryTableField id="9" name="Korps senioren" tableColumnId="9"/>
      <queryTableField id="110" name="Junioren korps 1" tableColumnId="10"/>
      <queryTableField id="111" name="Junioren korps 2" tableColumnId="11"/>
      <queryTableField id="112" name="Aspiranten korps 1" tableColumnId="26"/>
      <queryTableField id="113" name="Aspiranten korps 2" tableColumnId="30"/>
      <queryTableField id="12" name="Acrobatisch senioren" tableColumnId="12"/>
      <queryTableField id="13" name="Acrobatisch junioren" tableColumnId="13"/>
      <queryTableField id="14" name="Acrobatisch aspiranten" tableColumnId="14"/>
      <queryTableField id="15" name="Show senioren" tableColumnId="15"/>
      <queryTableField id="16" name="Show junioren" tableColumnId="16"/>
      <queryTableField id="17" name="Show aspiranten" tableColumnId="17"/>
      <queryTableField id="18" name="Senioren indiv." tableColumnId="18"/>
      <queryTableField id="19" name="Junioren indiv." tableColumnId="19"/>
      <queryTableField id="20" name="Aspiranten indiv." tableColumnId="20"/>
      <queryTableField id="21" name="Sen. ind opgegeven namen" tableColumnId="21"/>
      <queryTableField id="22" name="Jun. ind opgegeven namen" tableColumnId="22"/>
      <queryTableField id="23" name="Asp. ind opgegeven namen" tableColumnId="23"/>
      <queryTableField id="24" name="Hoofdkorps" tableColumnId="24"/>
      <queryTableField id="25" name="2e korps" tableColumnId="25"/>
      <queryTableField id="78" name="Groepen, teams, ensembles en duo's" tableColumnId="31"/>
      <queryTableField id="27" name="Senioren" tableColumnId="27"/>
      <queryTableField id="79" name="Jong volwassene" tableColumnId="32"/>
      <queryTableField id="28" name="Junioren" tableColumnId="28"/>
      <queryTableField id="29" name="Aspiranten" tableColumnId="29"/>
      <queryTableField id="80" name="Opgegeven senioren" tableColumnId="35"/>
      <queryTableField id="81" name="Opgegeven jong volwassene" tableColumnId="37"/>
      <queryTableField id="82" name="Opgegeven junioren" tableColumnId="39"/>
      <queryTableField id="83" name="Opgegeven aspiranten" tableColumnId="41"/>
      <queryTableField id="33" name="Marketentsters" tableColumnId="33"/>
      <queryTableField id="34" name="Luchtgeweer" tableColumnId="34"/>
      <queryTableField id="84" name="Aantal luchtgeweerschutters" tableColumnId="42"/>
      <queryTableField id="36" name="Luchtpistool" tableColumnId="36"/>
      <queryTableField id="85" name="Aantal luchtpistoolschutters" tableColumnId="43"/>
      <queryTableField id="40" name="Handboog" tableColumnId="40"/>
      <queryTableField id="86" name="Aantal handboogschutters" tableColumnId="44"/>
      <queryTableField id="38" name="Kruisboog" tableColumnId="38"/>
      <queryTableField id="87" name="Aantal kruisboogschutters" tableColumnId="71"/>
      <queryTableField id="88" name="Luchtgeweer jeugd niet ouder dan 17 jaar." tableColumnId="72"/>
      <queryTableField id="89" name="Aantal korpsen" tableColumnId="73"/>
      <queryTableField id="90" name="Opgegeven jeugdkorpsen LG" tableColumnId="74"/>
      <queryTableField id="45" name="Totaal aantal deelnemers" tableColumnId="45"/>
      <queryTableField id="46" name="Waarvan aantal jeugd (t/m 15 jaar)" tableColumnId="46"/>
      <queryTableField id="47" name="Kanon etc." tableColumnId="47"/>
      <queryTableField id="48" name="Paarden en/of koetsen" tableColumnId="48"/>
      <queryTableField id="49" name="Toelichting/opmerkingen" tableColumnId="49"/>
      <queryTableField id="50" name="Inzending-ID" tableColumnId="50"/>
      <queryTableField id="51" name="Inzenddatum" tableColumnId="51"/>
      <queryTableField id="91" name="Date Updated" tableColumnId="75"/>
      <queryTableField id="52" name="Naam van het hoofdkorps" tableColumnId="52"/>
      <queryTableField id="53" name="Zal op treden als (hoofdkorps)" tableColumnId="53"/>
      <queryTableField id="54" name="Vorm van twee muziekwerken (hoofdkorps)" tableColumnId="54"/>
      <queryTableField id="55" name="Zal uitkomen in de: (hoofdkorps)" tableColumnId="55"/>
      <queryTableField id="56" name="Muziekwerk1 (hoofdkorps)" tableColumnId="56"/>
      <queryTableField id="57" name="Muziekwerk2 (hoofdkorps)" tableColumnId="57"/>
      <queryTableField id="58" name="Korps bestaat uit ... deelnemers (hoofdkorps)" tableColumnId="58"/>
      <queryTableField id="59" name="Naam van het 2e korps" tableColumnId="59"/>
      <queryTableField id="60" name="Zal op treden als (2e korps)" tableColumnId="60"/>
      <queryTableField id="61" name="Vorm van twee muziekwerken (2e korps)" tableColumnId="61"/>
      <queryTableField id="62" name="Zal uitkomen in de: (2e korps)" tableColumnId="62"/>
      <queryTableField id="63" name="Muziekwerk1 (2e korps)" tableColumnId="63"/>
      <queryTableField id="64" name="Muziekwerk2 (2e korps)" tableColumnId="64"/>
      <queryTableField id="65" name="Korps bestaat uit ... deelnemers (2e korps)" tableColumnId="65"/>
      <queryTableField id="69" name="Mechanische muziek" tableColumnId="69"/>
      <queryTableField id="66" name="Onderdelen" tableColumnId="66"/>
      <queryTableField id="67" name="Secties" tableColumnId="67"/>
      <queryTableField id="68" name="Leeftijdscategorie" tableColumnId="68"/>
      <queryTableField id="70" name="Aantal opgegeven majorettes" tableColumnId="70"/>
    </queryTableFields>
    <queryTableDeletedFields count="2">
      <deletedField name="(HB) Berekend aantal opgegeven handboog schutters_272"/>
      <deletedField name="(LGJ) aantal jeugdkorpsen luchtgeweer in het profiel"/>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8" xr16:uid="{4116548B-C241-4E1D-B8B2-958C0EBF0029}" autoFormatId="16" applyNumberFormats="0" applyBorderFormats="0" applyFontFormats="0" applyPatternFormats="0" applyAlignmentFormats="0" applyWidthHeightFormats="0">
  <queryTableRefresh nextId="128">
    <queryTableFields count="75">
      <queryTableField id="1" name="Kringdag" tableColumnId="1"/>
      <queryTableField id="2" name="Ver.nr" tableColumnId="2"/>
      <queryTableField id="3" name="Naam vereniging" tableColumnId="3"/>
      <queryTableField id="4" name="Delegatie" tableColumnId="4"/>
      <queryTableField id="5" name="Muziekkorps bij mars en defilé" tableColumnId="5"/>
      <queryTableField id="6" name="Deeln. jeugdkoningschieten" tableColumnId="6"/>
      <queryTableField id="7" name="Maj. Senioren jureren bij mars" tableColumnId="7"/>
      <queryTableField id="8" name="Maj. Jeugd jureren bij mars" tableColumnId="8"/>
      <queryTableField id="9" name="Korps senioren" tableColumnId="9"/>
      <queryTableField id="120" name="Junioren korps 1" tableColumnId="10"/>
      <queryTableField id="121" name="Junioren korps 2" tableColumnId="11"/>
      <queryTableField id="122" name="Aspiranten korps 1" tableColumnId="26"/>
      <queryTableField id="123" name="Aspiranten korps 2" tableColumnId="30"/>
      <queryTableField id="12" name="Acrobatisch senioren" tableColumnId="12"/>
      <queryTableField id="13" name="Acrobatisch junioren" tableColumnId="13"/>
      <queryTableField id="14" name="Acrobatisch aspiranten" tableColumnId="14"/>
      <queryTableField id="15" name="Show senioren" tableColumnId="15"/>
      <queryTableField id="16" name="Show junioren" tableColumnId="16"/>
      <queryTableField id="17" name="Show aspiranten" tableColumnId="17"/>
      <queryTableField id="18" name="Senioren indiv." tableColumnId="18"/>
      <queryTableField id="19" name="Junioren indiv." tableColumnId="19"/>
      <queryTableField id="20" name="Aspiranten indiv." tableColumnId="20"/>
      <queryTableField id="21" name="Sen. ind opgegeven namen" tableColumnId="21"/>
      <queryTableField id="22" name="Jun. ind opgegeven namen" tableColumnId="22"/>
      <queryTableField id="23" name="Asp. ind opgegeven namen" tableColumnId="23"/>
      <queryTableField id="24" name="Hoofdkorps" tableColumnId="24"/>
      <queryTableField id="25" name="2e korps" tableColumnId="25"/>
      <queryTableField id="80" name="Groepen, teams, ensembles en duo's" tableColumnId="31"/>
      <queryTableField id="27" name="Senioren" tableColumnId="27"/>
      <queryTableField id="81" name="Jong volwassene" tableColumnId="32"/>
      <queryTableField id="28" name="Junioren" tableColumnId="28"/>
      <queryTableField id="29" name="Aspiranten" tableColumnId="29"/>
      <queryTableField id="82" name="Opgegeven senioren" tableColumnId="35"/>
      <queryTableField id="83" name="Opgegeven jong volwassene" tableColumnId="37"/>
      <queryTableField id="84" name="Opgegeven junioren" tableColumnId="39"/>
      <queryTableField id="85" name="Opgegeven aspiranten" tableColumnId="41"/>
      <queryTableField id="33" name="Marketentsters" tableColumnId="33"/>
      <queryTableField id="34" name="Luchtgeweer" tableColumnId="34"/>
      <queryTableField id="86" name="Aantal luchtgeweerschutters" tableColumnId="42"/>
      <queryTableField id="36" name="Luchtpistool" tableColumnId="36"/>
      <queryTableField id="87" name="Aantal luchtpistoolschutters" tableColumnId="43"/>
      <queryTableField id="40" name="Handboog" tableColumnId="40"/>
      <queryTableField id="88" name="Aantal handboogschutters" tableColumnId="44"/>
      <queryTableField id="38" name="Kruisboog" tableColumnId="38"/>
      <queryTableField id="89" name="Aantal kruisboogschutters" tableColumnId="71"/>
      <queryTableField id="90" name="Luchtgeweer jeugd niet ouder dan 17 jaar." tableColumnId="72"/>
      <queryTableField id="91" name="Aantal korpsen" tableColumnId="73"/>
      <queryTableField id="92" name="Opgegeven jeugdkorpsen LG" tableColumnId="74"/>
      <queryTableField id="45" name="Totaal aantal deelnemers" tableColumnId="45"/>
      <queryTableField id="46" name="Waarvan aantal jeugd (t/m 15 jaar)" tableColumnId="46"/>
      <queryTableField id="47" name="Kanon etc." tableColumnId="47"/>
      <queryTableField id="48" name="Paarden en/of koetsen" tableColumnId="48"/>
      <queryTableField id="49" name="Toelichting/opmerkingen" tableColumnId="49"/>
      <queryTableField id="50" name="Inzending-ID" tableColumnId="50"/>
      <queryTableField id="51" name="Inzenddatum" tableColumnId="51"/>
      <queryTableField id="93" name="Date Updated" tableColumnId="75"/>
      <queryTableField id="52" name="Naam van het hoofdkorps" tableColumnId="52"/>
      <queryTableField id="53" name="Zal op treden als (hoofdkorps)" tableColumnId="53"/>
      <queryTableField id="54" name="Vorm van twee muziekwerken (hoofdkorps)" tableColumnId="54"/>
      <queryTableField id="55" name="Zal uitkomen in de: (hoofdkorps)" tableColumnId="55"/>
      <queryTableField id="56" name="Muziekwerk1 (hoofdkorps)" tableColumnId="56"/>
      <queryTableField id="57" name="Muziekwerk2 (hoofdkorps)" tableColumnId="57"/>
      <queryTableField id="58" name="Korps bestaat uit ... deelnemers (hoofdkorps)" tableColumnId="58"/>
      <queryTableField id="59" name="Naam van het 2e korps" tableColumnId="59"/>
      <queryTableField id="60" name="Zal op treden als (2e korps)" tableColumnId="60"/>
      <queryTableField id="61" name="Vorm van twee muziekwerken (2e korps)" tableColumnId="61"/>
      <queryTableField id="62" name="Zal uitkomen in de: (2e korps)" tableColumnId="62"/>
      <queryTableField id="63" name="Muziekwerk1 (2e korps)" tableColumnId="63"/>
      <queryTableField id="64" name="Muziekwerk2 (2e korps)" tableColumnId="64"/>
      <queryTableField id="65" name="Korps bestaat uit ... deelnemers (2e korps)" tableColumnId="65"/>
      <queryTableField id="69" name="Mechanische muziek" tableColumnId="69"/>
      <queryTableField id="66" name="Onderdelen" tableColumnId="66"/>
      <queryTableField id="67" name="Secties" tableColumnId="67"/>
      <queryTableField id="68" name="Leeftijdscategorie" tableColumnId="68"/>
      <queryTableField id="70" name="Aantal opgegeven majorettes" tableColumnId="7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7" xr16:uid="{5B19EFD5-E340-4CAD-A90F-3AF19A96AD11}" autoFormatId="16" applyNumberFormats="0" applyBorderFormats="0" applyFontFormats="0" applyPatternFormats="0" applyAlignmentFormats="0" applyWidthHeightFormats="0">
  <queryTableRefresh nextId="126">
    <queryTableFields count="75">
      <queryTableField id="1" name="Kringdag" tableColumnId="1"/>
      <queryTableField id="2" name="Ver.nr" tableColumnId="2"/>
      <queryTableField id="3" name="Naam vereniging" tableColumnId="3"/>
      <queryTableField id="4" name="Delegatie" tableColumnId="4"/>
      <queryTableField id="5" name="Muziekkorps bij mars en defilé" tableColumnId="5"/>
      <queryTableField id="6" name="Deeln. jeugdkoningschieten" tableColumnId="6"/>
      <queryTableField id="7" name="Maj. Senioren jureren bij mars" tableColumnId="7"/>
      <queryTableField id="8" name="Maj. Jeugd jureren bij mars" tableColumnId="8"/>
      <queryTableField id="9" name="Korps senioren" tableColumnId="9"/>
      <queryTableField id="118" name="Junioren korps 1" tableColumnId="10"/>
      <queryTableField id="119" name="Junioren korps 2" tableColumnId="11"/>
      <queryTableField id="120" name="Aspiranten korps 1" tableColumnId="26"/>
      <queryTableField id="121" name="Aspiranten korps 2" tableColumnId="30"/>
      <queryTableField id="12" name="Acrobatisch senioren" tableColumnId="12"/>
      <queryTableField id="13" name="Acrobatisch junioren" tableColumnId="13"/>
      <queryTableField id="14" name="Acrobatisch aspiranten" tableColumnId="14"/>
      <queryTableField id="15" name="Show senioren" tableColumnId="15"/>
      <queryTableField id="16" name="Show junioren" tableColumnId="16"/>
      <queryTableField id="17" name="Show aspiranten" tableColumnId="17"/>
      <queryTableField id="18" name="Senioren indiv." tableColumnId="18"/>
      <queryTableField id="19" name="Junioren indiv." tableColumnId="19"/>
      <queryTableField id="20" name="Aspiranten indiv." tableColumnId="20"/>
      <queryTableField id="21" name="Sen. ind opgegeven namen" tableColumnId="21"/>
      <queryTableField id="22" name="Jun. ind opgegeven namen" tableColumnId="22"/>
      <queryTableField id="23" name="Asp. ind opgegeven namen" tableColumnId="23"/>
      <queryTableField id="24" name="Hoofdkorps" tableColumnId="24"/>
      <queryTableField id="25" name="2e korps" tableColumnId="25"/>
      <queryTableField id="86" name="Groepen, teams, ensembles en duo's" tableColumnId="31"/>
      <queryTableField id="27" name="Senioren" tableColumnId="27"/>
      <queryTableField id="87" name="Jong volwassene" tableColumnId="32"/>
      <queryTableField id="28" name="Junioren" tableColumnId="28"/>
      <queryTableField id="29" name="Aspiranten" tableColumnId="29"/>
      <queryTableField id="88" name="Opgegeven senioren" tableColumnId="35"/>
      <queryTableField id="89" name="Opgegeven jong volwassene" tableColumnId="37"/>
      <queryTableField id="90" name="Opgegeven junioren" tableColumnId="39"/>
      <queryTableField id="91" name="Opgegeven aspiranten" tableColumnId="41"/>
      <queryTableField id="33" name="Marketentsters" tableColumnId="33"/>
      <queryTableField id="34" name="Luchtgeweer" tableColumnId="34"/>
      <queryTableField id="92" name="Aantal luchtgeweerschutters" tableColumnId="42"/>
      <queryTableField id="36" name="Luchtpistool" tableColumnId="36"/>
      <queryTableField id="93" name="Aantal luchtpistoolschutters" tableColumnId="43"/>
      <queryTableField id="40" name="Handboog" tableColumnId="40"/>
      <queryTableField id="94" name="Aantal handboogschutters" tableColumnId="44"/>
      <queryTableField id="38" name="Kruisboog" tableColumnId="38"/>
      <queryTableField id="95" name="Aantal kruisboogschutters" tableColumnId="71"/>
      <queryTableField id="96" name="Luchtgeweer jeugd niet ouder dan 17 jaar." tableColumnId="72"/>
      <queryTableField id="97" name="Aantal korpsen" tableColumnId="73"/>
      <queryTableField id="98" name="Opgegeven jeugdkorpsen LG" tableColumnId="74"/>
      <queryTableField id="45" name="Totaal aantal deelnemers" tableColumnId="45"/>
      <queryTableField id="46" name="Waarvan aantal jeugd (t/m 15 jaar)" tableColumnId="46"/>
      <queryTableField id="47" name="Kanon etc." tableColumnId="47"/>
      <queryTableField id="48" name="Paarden en/of koetsen" tableColumnId="48"/>
      <queryTableField id="49" name="Toelichting/opmerkingen" tableColumnId="49"/>
      <queryTableField id="50" name="Inzending-ID" tableColumnId="50"/>
      <queryTableField id="51" name="Inzenddatum" tableColumnId="51"/>
      <queryTableField id="99" name="Date Updated" tableColumnId="75"/>
      <queryTableField id="52" name="Naam van het hoofdkorps" tableColumnId="52"/>
      <queryTableField id="53" name="Zal op treden als (hoofdkorps)" tableColumnId="53"/>
      <queryTableField id="54" name="Vorm van twee muziekwerken (hoofdkorps)" tableColumnId="54"/>
      <queryTableField id="55" name="Zal uitkomen in de: (hoofdkorps)" tableColumnId="55"/>
      <queryTableField id="56" name="Muziekwerk1 (hoofdkorps)" tableColumnId="56"/>
      <queryTableField id="57" name="Muziekwerk2 (hoofdkorps)" tableColumnId="57"/>
      <queryTableField id="58" name="Korps bestaat uit ... deelnemers (hoofdkorps)" tableColumnId="58"/>
      <queryTableField id="59" name="Naam van het 2e korps" tableColumnId="59"/>
      <queryTableField id="60" name="Zal op treden als (2e korps)" tableColumnId="60"/>
      <queryTableField id="61" name="Vorm van twee muziekwerken (2e korps)" tableColumnId="61"/>
      <queryTableField id="62" name="Zal uitkomen in de: (2e korps)" tableColumnId="62"/>
      <queryTableField id="63" name="Muziekwerk1 (2e korps)" tableColumnId="63"/>
      <queryTableField id="64" name="Muziekwerk2 (2e korps)" tableColumnId="64"/>
      <queryTableField id="65" name="Korps bestaat uit ... deelnemers (2e korps)" tableColumnId="65"/>
      <queryTableField id="69" name="Mechanische muziek" tableColumnId="69"/>
      <queryTableField id="66" name="Onderdelen" tableColumnId="66"/>
      <queryTableField id="67" name="Secties" tableColumnId="67"/>
      <queryTableField id="68" name="Leeftijdscategorie" tableColumnId="68"/>
      <queryTableField id="70" name="Aantal opgegeven majorettes" tableColumnId="7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6" xr16:uid="{D0B5E214-FED8-4DC1-95B8-1899AE77FF69}" autoFormatId="16" applyNumberFormats="0" applyBorderFormats="0" applyFontFormats="0" applyPatternFormats="0" applyAlignmentFormats="0" applyWidthHeightFormats="0">
  <queryTableRefresh nextId="120">
    <queryTableFields count="75">
      <queryTableField id="1" name="Kringdag" tableColumnId="1"/>
      <queryTableField id="2" name="Ver.nr" tableColumnId="2"/>
      <queryTableField id="3" name="Naam vereniging" tableColumnId="3"/>
      <queryTableField id="4" name="Delegatie" tableColumnId="4"/>
      <queryTableField id="5" name="Muziekkorps bij mars en defilé" tableColumnId="5"/>
      <queryTableField id="6" name="Deeln. jeugdkoningschieten" tableColumnId="6"/>
      <queryTableField id="7" name="Maj. Senioren jureren bij mars" tableColumnId="7"/>
      <queryTableField id="8" name="Maj. Jeugd jureren bij mars" tableColumnId="8"/>
      <queryTableField id="9" name="Korps senioren" tableColumnId="9"/>
      <queryTableField id="112" name="Junioren korps 1" tableColumnId="10"/>
      <queryTableField id="113" name="Junioren korps 2" tableColumnId="11"/>
      <queryTableField id="114" name="Aspiranten korps 1" tableColumnId="26"/>
      <queryTableField id="115" name="Aspiranten korps 2" tableColumnId="30"/>
      <queryTableField id="12" name="Acrobatisch senioren" tableColumnId="12"/>
      <queryTableField id="13" name="Acrobatisch junioren" tableColumnId="13"/>
      <queryTableField id="14" name="Acrobatisch aspiranten" tableColumnId="14"/>
      <queryTableField id="15" name="Show senioren" tableColumnId="15"/>
      <queryTableField id="16" name="Show junioren" tableColumnId="16"/>
      <queryTableField id="17" name="Show aspiranten" tableColumnId="17"/>
      <queryTableField id="18" name="Senioren indiv." tableColumnId="18"/>
      <queryTableField id="19" name="Junioren indiv." tableColumnId="19"/>
      <queryTableField id="20" name="Aspiranten indiv." tableColumnId="20"/>
      <queryTableField id="21" name="Sen. ind opgegeven namen" tableColumnId="21"/>
      <queryTableField id="22" name="Jun. ind opgegeven namen" tableColumnId="22"/>
      <queryTableField id="23" name="Asp. ind opgegeven namen" tableColumnId="23"/>
      <queryTableField id="24" name="Hoofdkorps" tableColumnId="24"/>
      <queryTableField id="25" name="2e korps" tableColumnId="25"/>
      <queryTableField id="80" name="Groepen, teams, ensembles en duo's" tableColumnId="31"/>
      <queryTableField id="27" name="Senioren" tableColumnId="27"/>
      <queryTableField id="81" name="Jong volwassene" tableColumnId="32"/>
      <queryTableField id="28" name="Junioren" tableColumnId="28"/>
      <queryTableField id="29" name="Aspiranten" tableColumnId="29"/>
      <queryTableField id="82" name="Opgegeven senioren" tableColumnId="35"/>
      <queryTableField id="83" name="Opgegeven jong volwassene" tableColumnId="37"/>
      <queryTableField id="84" name="Opgegeven junioren" tableColumnId="39"/>
      <queryTableField id="85" name="Opgegeven aspiranten" tableColumnId="41"/>
      <queryTableField id="33" name="Marketentsters" tableColumnId="33"/>
      <queryTableField id="34" name="Luchtgeweer" tableColumnId="34"/>
      <queryTableField id="86" name="Aantal luchtgeweerschutters" tableColumnId="42"/>
      <queryTableField id="36" name="Luchtpistool" tableColumnId="36"/>
      <queryTableField id="87" name="Aantal luchtpistoolschutters" tableColumnId="43"/>
      <queryTableField id="40" name="Handboog" tableColumnId="40"/>
      <queryTableField id="88" name="Aantal handboogschutters" tableColumnId="44"/>
      <queryTableField id="38" name="Kruisboog" tableColumnId="38"/>
      <queryTableField id="89" name="Aantal kruisboogschutters" tableColumnId="71"/>
      <queryTableField id="90" name="Luchtgeweer jeugd niet ouder dan 17 jaar." tableColumnId="72"/>
      <queryTableField id="91" name="Aantal korpsen" tableColumnId="73"/>
      <queryTableField id="92" name="Opgegeven jeugdkorpsen LG" tableColumnId="74"/>
      <queryTableField id="45" name="Totaal aantal deelnemers" tableColumnId="45"/>
      <queryTableField id="46" name="Waarvan aantal jeugd (t/m 15 jaar)" tableColumnId="46"/>
      <queryTableField id="47" name="Kanon etc." tableColumnId="47"/>
      <queryTableField id="48" name="Paarden en/of koetsen" tableColumnId="48"/>
      <queryTableField id="49" name="Toelichting/opmerkingen" tableColumnId="49"/>
      <queryTableField id="50" name="Inzending-ID" tableColumnId="50"/>
      <queryTableField id="51" name="Inzenddatum" tableColumnId="51"/>
      <queryTableField id="93" name="Date Updated" tableColumnId="75"/>
      <queryTableField id="52" name="Naam van het hoofdkorps" tableColumnId="52"/>
      <queryTableField id="53" name="Zal op treden als (hoofdkorps)" tableColumnId="53"/>
      <queryTableField id="54" name="Vorm van twee muziekwerken (hoofdkorps)" tableColumnId="54"/>
      <queryTableField id="55" name="Zal uitkomen in de: (hoofdkorps)" tableColumnId="55"/>
      <queryTableField id="56" name="Muziekwerk1 (hoofdkorps)" tableColumnId="56"/>
      <queryTableField id="57" name="Muziekwerk2 (hoofdkorps)" tableColumnId="57"/>
      <queryTableField id="58" name="Korps bestaat uit ... deelnemers (hoofdkorps)" tableColumnId="58"/>
      <queryTableField id="59" name="Naam van het 2e korps" tableColumnId="59"/>
      <queryTableField id="60" name="Zal op treden als (2e korps)" tableColumnId="60"/>
      <queryTableField id="61" name="Vorm van twee muziekwerken (2e korps)" tableColumnId="61"/>
      <queryTableField id="62" name="Zal uitkomen in de: (2e korps)" tableColumnId="62"/>
      <queryTableField id="63" name="Muziekwerk1 (2e korps)" tableColumnId="63"/>
      <queryTableField id="64" name="Muziekwerk2 (2e korps)" tableColumnId="64"/>
      <queryTableField id="65" name="Korps bestaat uit ... deelnemers (2e korps)" tableColumnId="65"/>
      <queryTableField id="69" name="Mechanische muziek" tableColumnId="69"/>
      <queryTableField id="66" name="Onderdelen" tableColumnId="66"/>
      <queryTableField id="67" name="Secties" tableColumnId="67"/>
      <queryTableField id="68" name="Leeftijdscategorie" tableColumnId="68"/>
      <queryTableField id="70" name="Aantal opgegeven majorettes" tableColumnId="70"/>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9" xr16:uid="{1774D010-A1C6-4AFF-A232-696AEE801FDB}" autoFormatId="16" applyNumberFormats="0" applyBorderFormats="0" applyFontFormats="0" applyPatternFormats="0" applyAlignmentFormats="0" applyWidthHeightFormats="0">
  <queryTableRefresh nextId="114">
    <queryTableFields count="75">
      <queryTableField id="1" name="Kringdag" tableColumnId="1"/>
      <queryTableField id="2" name="Ver.nr" tableColumnId="2"/>
      <queryTableField id="3" name="Naam vereniging" tableColumnId="3"/>
      <queryTableField id="4" name="Delegatie" tableColumnId="4"/>
      <queryTableField id="5" name="Muziekkorps bij mars en defilé" tableColumnId="5"/>
      <queryTableField id="6" name="Deeln. jeugdkoningschieten" tableColumnId="6"/>
      <queryTableField id="7" name="Maj. Senioren jureren bij mars" tableColumnId="7"/>
      <queryTableField id="8" name="Maj. Jeugd jureren bij mars" tableColumnId="8"/>
      <queryTableField id="9" name="Korps senioren" tableColumnId="9"/>
      <queryTableField id="106" name="Junioren korps 1" tableColumnId="10"/>
      <queryTableField id="107" name="Junioren korps 2" tableColumnId="11"/>
      <queryTableField id="108" name="Aspiranten korps 1" tableColumnId="26"/>
      <queryTableField id="109" name="Aspiranten korps 2" tableColumnId="30"/>
      <queryTableField id="12" name="Acrobatisch senioren" tableColumnId="12"/>
      <queryTableField id="13" name="Acrobatisch junioren" tableColumnId="13"/>
      <queryTableField id="14" name="Acrobatisch aspiranten" tableColumnId="14"/>
      <queryTableField id="15" name="Show senioren" tableColumnId="15"/>
      <queryTableField id="16" name="Show junioren" tableColumnId="16"/>
      <queryTableField id="17" name="Show aspiranten" tableColumnId="17"/>
      <queryTableField id="18" name="Senioren indiv." tableColumnId="18"/>
      <queryTableField id="19" name="Junioren indiv." tableColumnId="19"/>
      <queryTableField id="20" name="Aspiranten indiv." tableColumnId="20"/>
      <queryTableField id="21" name="Sen. ind opgegeven namen" tableColumnId="21"/>
      <queryTableField id="22" name="Jun. ind opgegeven namen" tableColumnId="22"/>
      <queryTableField id="23" name="Asp. ind opgegeven namen" tableColumnId="23"/>
      <queryTableField id="24" name="Hoofdkorps" tableColumnId="24"/>
      <queryTableField id="25" name="2e korps" tableColumnId="25"/>
      <queryTableField id="74" name="Groepen, teams, ensembles en duo's" tableColumnId="31"/>
      <queryTableField id="27" name="Senioren" tableColumnId="27"/>
      <queryTableField id="75" name="Jong volwassene" tableColumnId="32"/>
      <queryTableField id="28" name="Junioren" tableColumnId="28"/>
      <queryTableField id="29" name="Aspiranten" tableColumnId="29"/>
      <queryTableField id="76" name="Opgegeven senioren" tableColumnId="35"/>
      <queryTableField id="77" name="Opgegeven jong volwassene" tableColumnId="37"/>
      <queryTableField id="78" name="Opgegeven junioren" tableColumnId="39"/>
      <queryTableField id="79" name="Opgegeven aspiranten" tableColumnId="41"/>
      <queryTableField id="33" name="Marketentsters" tableColumnId="33"/>
      <queryTableField id="34" name="Luchtgeweer" tableColumnId="34"/>
      <queryTableField id="80" name="Aantal luchtgeweerschutters" tableColumnId="42"/>
      <queryTableField id="36" name="Luchtpistool" tableColumnId="36"/>
      <queryTableField id="81" name="Aantal luchtpistoolschutters" tableColumnId="43"/>
      <queryTableField id="40" name="Handboog" tableColumnId="40"/>
      <queryTableField id="82" name="Aantal handboogschutters" tableColumnId="44"/>
      <queryTableField id="38" name="Kruisboog" tableColumnId="38"/>
      <queryTableField id="83" name="Aantal kruisboogschutters" tableColumnId="71"/>
      <queryTableField id="84" name="Luchtgeweer jeugd niet ouder dan 17 jaar." tableColumnId="72"/>
      <queryTableField id="85" name="Aantal korpsen" tableColumnId="73"/>
      <queryTableField id="86" name="Opgegeven jeugdkorpsen LG" tableColumnId="74"/>
      <queryTableField id="45" name="Totaal aantal deelnemers" tableColumnId="45"/>
      <queryTableField id="46" name="Waarvan aantal jeugd (t/m 15 jaar)" tableColumnId="46"/>
      <queryTableField id="47" name="Kanon etc." tableColumnId="47"/>
      <queryTableField id="48" name="Paarden en/of koetsen" tableColumnId="48"/>
      <queryTableField id="49" name="Toelichting/opmerkingen" tableColumnId="49"/>
      <queryTableField id="50" name="Inzending-ID" tableColumnId="50"/>
      <queryTableField id="51" name="Inzenddatum" tableColumnId="51"/>
      <queryTableField id="87" name="Date Updated" tableColumnId="75"/>
      <queryTableField id="52" name="Naam van het hoofdkorps" tableColumnId="52"/>
      <queryTableField id="53" name="Zal op treden als (hoofdkorps)" tableColumnId="53"/>
      <queryTableField id="54" name="Vorm van twee muziekwerken (hoofdkorps)" tableColumnId="54"/>
      <queryTableField id="55" name="Zal uitkomen in de: (hoofdkorps)" tableColumnId="55"/>
      <queryTableField id="56" name="Muziekwerk1 (hoofdkorps)" tableColumnId="56"/>
      <queryTableField id="57" name="Muziekwerk2 (hoofdkorps)" tableColumnId="57"/>
      <queryTableField id="58" name="Korps bestaat uit ... deelnemers (hoofdkorps)" tableColumnId="58"/>
      <queryTableField id="59" name="Naam van het 2e korps" tableColumnId="59"/>
      <queryTableField id="60" name="Zal op treden als (2e korps)" tableColumnId="60"/>
      <queryTableField id="61" name="Vorm van twee muziekwerken (2e korps)" tableColumnId="61"/>
      <queryTableField id="62" name="Zal uitkomen in de: (2e korps)" tableColumnId="62"/>
      <queryTableField id="63" name="Muziekwerk1 (2e korps)" tableColumnId="63"/>
      <queryTableField id="64" name="Muziekwerk2 (2e korps)" tableColumnId="64"/>
      <queryTableField id="65" name="Korps bestaat uit ... deelnemers (2e korps)" tableColumnId="65"/>
      <queryTableField id="69" name="Mechanische muziek" tableColumnId="69"/>
      <queryTableField id="66" name="Onderdelen" tableColumnId="66"/>
      <queryTableField id="67" name="Secties" tableColumnId="67"/>
      <queryTableField id="68" name="Leeftijdscategorie" tableColumnId="68"/>
      <queryTableField id="70" name="Aantal opgegeven majorettes" tableColumnId="70"/>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eGegevens_4" connectionId="11" xr16:uid="{E848E844-2661-4E26-B55F-7E83745BD4BB}" autoFormatId="16" applyNumberFormats="0" applyBorderFormats="0" applyFontFormats="0" applyPatternFormats="0" applyAlignmentFormats="0" applyWidthHeightFormats="0">
  <queryTableRefresh nextId="112">
    <queryTableFields count="75">
      <queryTableField id="1" name="Kringdag" tableColumnId="1"/>
      <queryTableField id="2" name="Ver.nr" tableColumnId="2"/>
      <queryTableField id="3" name="Naam vereniging" tableColumnId="3"/>
      <queryTableField id="4" name="Delegatie" tableColumnId="4"/>
      <queryTableField id="5" name="Muziekkorps bij mars en defilé" tableColumnId="5"/>
      <queryTableField id="6" name="Deeln. jeugdkoningschieten" tableColumnId="6"/>
      <queryTableField id="7" name="Maj. Senioren jureren bij mars" tableColumnId="7"/>
      <queryTableField id="8" name="Maj. Jeugd jureren bij mars" tableColumnId="8"/>
      <queryTableField id="9" name="Korps senioren" tableColumnId="9"/>
      <queryTableField id="104" name="Junioren korps 1" tableColumnId="10"/>
      <queryTableField id="105" name="Junioren korps 2" tableColumnId="11"/>
      <queryTableField id="106" name="Aspiranten korps 1" tableColumnId="26"/>
      <queryTableField id="107" name="Aspiranten korps 2" tableColumnId="30"/>
      <queryTableField id="12" name="Acrobatisch senioren" tableColumnId="12"/>
      <queryTableField id="13" name="Acrobatisch junioren" tableColumnId="13"/>
      <queryTableField id="14" name="Acrobatisch aspiranten" tableColumnId="14"/>
      <queryTableField id="15" name="Show senioren" tableColumnId="15"/>
      <queryTableField id="16" name="Show junioren" tableColumnId="16"/>
      <queryTableField id="17" name="Show aspiranten" tableColumnId="17"/>
      <queryTableField id="18" name="Senioren indiv." tableColumnId="18"/>
      <queryTableField id="19" name="Junioren indiv." tableColumnId="19"/>
      <queryTableField id="20" name="Aspiranten indiv." tableColumnId="20"/>
      <queryTableField id="21" name="Sen. ind opgegeven namen" tableColumnId="21"/>
      <queryTableField id="22" name="Jun. ind opgegeven namen" tableColumnId="22"/>
      <queryTableField id="23" name="Asp. ind opgegeven namen" tableColumnId="23"/>
      <queryTableField id="24" name="Hoofdkorps" tableColumnId="24"/>
      <queryTableField id="25" name="2e korps" tableColumnId="25"/>
      <queryTableField id="72" name="Groepen, teams, ensembles en duo's" tableColumnId="31"/>
      <queryTableField id="27" name="Senioren" tableColumnId="27"/>
      <queryTableField id="73" name="Jong volwassene" tableColumnId="32"/>
      <queryTableField id="28" name="Junioren" tableColumnId="28"/>
      <queryTableField id="29" name="Aspiranten" tableColumnId="29"/>
      <queryTableField id="74" name="Opgegeven senioren" tableColumnId="38"/>
      <queryTableField id="75" name="Opgegeven jong volwassene" tableColumnId="39"/>
      <queryTableField id="76" name="Opgegeven junioren" tableColumnId="66"/>
      <queryTableField id="77" name="Opgegeven aspiranten" tableColumnId="67"/>
      <queryTableField id="33" name="Marketentsters" tableColumnId="33"/>
      <queryTableField id="34" name="Luchtgeweer" tableColumnId="34"/>
      <queryTableField id="78" name="Aantal luchtgeweerschutters" tableColumnId="68"/>
      <queryTableField id="35" name="Luchtpistool" tableColumnId="35"/>
      <queryTableField id="79" name="Aantal luchtpistoolschutters" tableColumnId="69"/>
      <queryTableField id="37" name="Handboog" tableColumnId="37"/>
      <queryTableField id="80" name="Aantal handboogschutters" tableColumnId="70"/>
      <queryTableField id="36" name="Kruisboog" tableColumnId="36"/>
      <queryTableField id="81" name="Aantal kruisboogschutters" tableColumnId="71"/>
      <queryTableField id="82" name="Luchtgeweer jeugd niet ouder dan 17 jaar." tableColumnId="72"/>
      <queryTableField id="83" name="Aantal korpsen" tableColumnId="73"/>
      <queryTableField id="84" name="Opgegeven jeugdkorpsen LG" tableColumnId="74"/>
      <queryTableField id="40" name="Totaal aantal deelnemers" tableColumnId="40"/>
      <queryTableField id="41" name="Waarvan aantal jeugd (t/m 15 jaar)" tableColumnId="41"/>
      <queryTableField id="42" name="Kanon etc." tableColumnId="42"/>
      <queryTableField id="43" name="Paarden en/of koetsen" tableColumnId="43"/>
      <queryTableField id="44" name="Toelichting/opmerkingen" tableColumnId="44"/>
      <queryTableField id="45" name="Inzending-ID" tableColumnId="45"/>
      <queryTableField id="46" name="Inzenddatum" tableColumnId="46"/>
      <queryTableField id="85" name="Date Updated" tableColumnId="75"/>
      <queryTableField id="47" name="Naam van het hoofdkorps" tableColumnId="47"/>
      <queryTableField id="48" name="Zal op treden als (hoofdkorps)" tableColumnId="48"/>
      <queryTableField id="49" name="Vorm van twee muziekwerken (hoofdkorps)" tableColumnId="49"/>
      <queryTableField id="50" name="Zal uitkomen in de: (hoofdkorps)" tableColumnId="50"/>
      <queryTableField id="51" name="Muziekwerk1 (hoofdkorps)" tableColumnId="51"/>
      <queryTableField id="52" name="Muziekwerk2 (hoofdkorps)" tableColumnId="52"/>
      <queryTableField id="53" name="Korps bestaat uit ... deelnemers (hoofdkorps)" tableColumnId="53"/>
      <queryTableField id="54" name="Naam van het 2e korps" tableColumnId="54"/>
      <queryTableField id="55" name="Zal op treden als (2e korps)" tableColumnId="55"/>
      <queryTableField id="56" name="Vorm van twee muziekwerken (2e korps)" tableColumnId="56"/>
      <queryTableField id="57" name="Zal uitkomen in de: (2e korps)" tableColumnId="57"/>
      <queryTableField id="58" name="Muziekwerk1 (2e korps)" tableColumnId="58"/>
      <queryTableField id="59" name="Muziekwerk2 (2e korps)" tableColumnId="59"/>
      <queryTableField id="60" name="Korps bestaat uit ... deelnemers (2e korps)" tableColumnId="60"/>
      <queryTableField id="64" name="Mechanische muziek" tableColumnId="64"/>
      <queryTableField id="61" name="Onderdelen" tableColumnId="61"/>
      <queryTableField id="62" name="Secties" tableColumnId="62"/>
      <queryTableField id="63" name="Leeftijdscategorie" tableColumnId="63"/>
      <queryTableField id="65" name="Aantal opgegeven majorettes" tableColumnId="65"/>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4" xr16:uid="{0C2B39FD-CD34-4C45-8EFD-FD45938D9BB9}" autoFormatId="16" applyNumberFormats="0" applyBorderFormats="0" applyFontFormats="0" applyPatternFormats="0" applyAlignmentFormats="0" applyWidthHeightFormats="0">
  <queryTableRefresh nextId="114">
    <queryTableFields count="75">
      <queryTableField id="1" name="Kringdag" tableColumnId="1"/>
      <queryTableField id="2" name="Ver.nr" tableColumnId="2"/>
      <queryTableField id="3" name="Naam vereniging" tableColumnId="3"/>
      <queryTableField id="4" name="Delegatie" tableColumnId="4"/>
      <queryTableField id="5" name="Muziekkorps bij mars en defilé" tableColumnId="5"/>
      <queryTableField id="6" name="Deeln. jeugdkoningschieten" tableColumnId="6"/>
      <queryTableField id="7" name="Maj. Senioren jureren bij mars" tableColumnId="7"/>
      <queryTableField id="8" name="Maj. Jeugd jureren bij mars" tableColumnId="8"/>
      <queryTableField id="9" name="Korps senioren" tableColumnId="9"/>
      <queryTableField id="106" name="Junioren korps 1" tableColumnId="10"/>
      <queryTableField id="107" name="Junioren korps 2" tableColumnId="11"/>
      <queryTableField id="108" name="Aspiranten korps 1" tableColumnId="26"/>
      <queryTableField id="109" name="Aspiranten korps 2" tableColumnId="30"/>
      <queryTableField id="12" name="Acrobatisch senioren" tableColumnId="12"/>
      <queryTableField id="13" name="Acrobatisch junioren" tableColumnId="13"/>
      <queryTableField id="14" name="Acrobatisch aspiranten" tableColumnId="14"/>
      <queryTableField id="15" name="Show senioren" tableColumnId="15"/>
      <queryTableField id="16" name="Show junioren" tableColumnId="16"/>
      <queryTableField id="17" name="Show aspiranten" tableColumnId="17"/>
      <queryTableField id="18" name="Senioren indiv." tableColumnId="18"/>
      <queryTableField id="19" name="Junioren indiv." tableColumnId="19"/>
      <queryTableField id="20" name="Aspiranten indiv." tableColumnId="20"/>
      <queryTableField id="21" name="Sen. ind opgegeven namen" tableColumnId="21"/>
      <queryTableField id="22" name="Jun. ind opgegeven namen" tableColumnId="22"/>
      <queryTableField id="23" name="Asp. ind opgegeven namen" tableColumnId="23"/>
      <queryTableField id="24" name="Hoofdkorps" tableColumnId="24"/>
      <queryTableField id="25" name="2e korps" tableColumnId="25"/>
      <queryTableField id="74" name="Groepen, teams, ensembles en duo's" tableColumnId="31"/>
      <queryTableField id="27" name="Senioren" tableColumnId="27"/>
      <queryTableField id="75" name="Jong volwassene" tableColumnId="32"/>
      <queryTableField id="28" name="Junioren" tableColumnId="28"/>
      <queryTableField id="29" name="Aspiranten" tableColumnId="29"/>
      <queryTableField id="76" name="Opgegeven senioren" tableColumnId="35"/>
      <queryTableField id="77" name="Opgegeven jong volwassene" tableColumnId="37"/>
      <queryTableField id="78" name="Opgegeven junioren" tableColumnId="39"/>
      <queryTableField id="79" name="Opgegeven aspiranten" tableColumnId="41"/>
      <queryTableField id="33" name="Marketentsters" tableColumnId="33"/>
      <queryTableField id="34" name="Luchtgeweer" tableColumnId="34"/>
      <queryTableField id="80" name="Aantal luchtgeweerschutters" tableColumnId="42"/>
      <queryTableField id="36" name="Luchtpistool" tableColumnId="36"/>
      <queryTableField id="81" name="Aantal luchtpistoolschutters" tableColumnId="43"/>
      <queryTableField id="40" name="Handboog" tableColumnId="40"/>
      <queryTableField id="82" name="Aantal handboogschutters" tableColumnId="44"/>
      <queryTableField id="38" name="Kruisboog" tableColumnId="38"/>
      <queryTableField id="83" name="Aantal kruisboogschutters" tableColumnId="71"/>
      <queryTableField id="84" name="Luchtgeweer jeugd niet ouder dan 17 jaar." tableColumnId="72"/>
      <queryTableField id="85" name="Aantal korpsen" tableColumnId="73"/>
      <queryTableField id="86" name="Opgegeven jeugdkorpsen LG" tableColumnId="74"/>
      <queryTableField id="45" name="Totaal aantal deelnemers" tableColumnId="45"/>
      <queryTableField id="46" name="Waarvan aantal jeugd (t/m 15 jaar)" tableColumnId="46"/>
      <queryTableField id="47" name="Kanon etc." tableColumnId="47"/>
      <queryTableField id="48" name="Paarden en/of koetsen" tableColumnId="48"/>
      <queryTableField id="49" name="Toelichting/opmerkingen" tableColumnId="49"/>
      <queryTableField id="50" name="Inzending-ID" tableColumnId="50"/>
      <queryTableField id="51" name="Inzenddatum" tableColumnId="51"/>
      <queryTableField id="87" name="Date Updated" tableColumnId="75"/>
      <queryTableField id="52" name="Naam van het hoofdkorps" tableColumnId="52"/>
      <queryTableField id="53" name="Zal op treden als (hoofdkorps)" tableColumnId="53"/>
      <queryTableField id="54" name="Vorm van twee muziekwerken (hoofdkorps)" tableColumnId="54"/>
      <queryTableField id="55" name="Zal uitkomen in de: (hoofdkorps)" tableColumnId="55"/>
      <queryTableField id="56" name="Muziekwerk1 (hoofdkorps)" tableColumnId="56"/>
      <queryTableField id="57" name="Muziekwerk2 (hoofdkorps)" tableColumnId="57"/>
      <queryTableField id="58" name="Korps bestaat uit ... deelnemers (hoofdkorps)" tableColumnId="58"/>
      <queryTableField id="59" name="Naam van het 2e korps" tableColumnId="59"/>
      <queryTableField id="60" name="Zal op treden als (2e korps)" tableColumnId="60"/>
      <queryTableField id="61" name="Vorm van twee muziekwerken (2e korps)" tableColumnId="61"/>
      <queryTableField id="62" name="Zal uitkomen in de: (2e korps)" tableColumnId="62"/>
      <queryTableField id="63" name="Muziekwerk1 (2e korps)" tableColumnId="63"/>
      <queryTableField id="64" name="Muziekwerk2 (2e korps)" tableColumnId="64"/>
      <queryTableField id="65" name="Korps bestaat uit ... deelnemers (2e korps)" tableColumnId="65"/>
      <queryTableField id="69" name="Mechanische muziek" tableColumnId="69"/>
      <queryTableField id="66" name="Onderdelen" tableColumnId="66"/>
      <queryTableField id="67" name="Secties" tableColumnId="67"/>
      <queryTableField id="68" name="Leeftijdscategorie" tableColumnId="68"/>
      <queryTableField id="70" name="Aantal opgegeven majorettes" tableColumnId="70"/>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eGegevens_4" connectionId="5" xr16:uid="{E7113DB3-8D3D-4B9E-B8FB-1CD69E1478A3}" autoFormatId="16" applyNumberFormats="0" applyBorderFormats="0" applyFontFormats="0" applyPatternFormats="0" applyAlignmentFormats="0" applyWidthHeightFormats="0">
  <queryTableRefresh nextId="46">
    <queryTableFields count="23">
      <queryTableField id="29" name="Inzending-ID" tableColumnId="2"/>
      <queryTableField id="20" name="Inzenddatum" tableColumnId="20"/>
      <queryTableField id="1" name="GKVI" tableColumnId="1"/>
      <queryTableField id="21" name="Ver.nr." tableColumnId="21"/>
      <queryTableField id="3" name="Naam vereniging" tableColumnId="3"/>
      <queryTableField id="4" name="Korps klassiek senioren" tableColumnId="4"/>
      <queryTableField id="35" name="Korps 1 klassiek junioren" tableColumnId="5"/>
      <queryTableField id="36" name="Korps 2 klassiek junioren" tableColumnId="6"/>
      <queryTableField id="37" name="Korps 1 klassiek aspiranten" tableColumnId="13"/>
      <queryTableField id="38" name="Korps 2 klassiek aspiranten" tableColumnId="14"/>
      <queryTableField id="7" name="Korps acrob. senioren" tableColumnId="7"/>
      <queryTableField id="8" name="Korps acrob. junioren" tableColumnId="8"/>
      <queryTableField id="9" name="Korps acrob. aspiranten" tableColumnId="9"/>
      <queryTableField id="10" name="Korps show senioren" tableColumnId="10"/>
      <queryTableField id="11" name="Korps show junioren" tableColumnId="11"/>
      <queryTableField id="12" name="Korps show aspiranten" tableColumnId="12"/>
      <queryTableField id="23" name="Senioren" tableColumnId="22"/>
      <queryTableField id="24" name="Junioren" tableColumnId="23"/>
      <queryTableField id="25" name="Aspiranten" tableColumnId="24"/>
      <queryTableField id="17" name="Aantal deelnemers" tableColumnId="17"/>
      <queryTableField id="18" name="Hiervan is aspirant" tableColumnId="18"/>
      <queryTableField id="16" name="Opmerkingen" tableColumnId="16"/>
      <queryTableField id="39" name="Date Updated" tableColumnId="15"/>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eGegevens_2" connectionId="3" xr16:uid="{4E114F9E-3446-4D81-985E-ED37D101CA83}" autoFormatId="16" applyNumberFormats="0" applyBorderFormats="0" applyFontFormats="0" applyPatternFormats="0" applyAlignmentFormats="0" applyWidthHeightFormats="0">
  <queryTableRefresh nextId="89">
    <queryTableFields count="11">
      <queryTableField id="3" name="BIEL" tableColumnId="3"/>
      <queryTableField id="4" name="Ver.nr." tableColumnId="4"/>
      <queryTableField id="5" name="Naam vereniging" tableColumnId="5"/>
      <queryTableField id="6" name="Senioren" tableColumnId="6"/>
      <queryTableField id="84" name="Jong volwassene" tableColumnId="72"/>
      <queryTableField id="7" name="Junioren" tableColumnId="7"/>
      <queryTableField id="8" name="Aspiranten" tableColumnId="8"/>
      <queryTableField id="9" name="Opmerkingen/toelichting" tableColumnId="9"/>
      <queryTableField id="1" name="Inzending-ID" tableColumnId="1"/>
      <queryTableField id="2" name="Inzenddatum" tableColumnId="2"/>
      <queryTableField id="87" name="Date Updated"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B2AD1A8-21EE-4EC5-B1CA-8DF26891C09C}" name="Kringdagen" displayName="Kringdagen" ref="A6:BW58" tableType="queryTable" totalsRowCount="1" headerRowDxfId="858" dataDxfId="857">
  <autoFilter ref="A6:BW57" xr:uid="{3B2AD1A8-21EE-4EC5-B1CA-8DF26891C09C}"/>
  <tableColumns count="75">
    <tableColumn id="1" xr3:uid="{7169F922-C0A5-4C7A-8163-110390717455}" uniqueName="1" name="Kringdag" totalsRowLabel="Totaal" queryTableFieldId="1" dataDxfId="567"/>
    <tableColumn id="2" xr3:uid="{9B4B57E0-EA6A-496B-8C47-7344A7B0416E}" uniqueName="2" name="Ver.nr" queryTableFieldId="2" dataDxfId="566"/>
    <tableColumn id="3" xr3:uid="{28A22636-2AD3-4B4A-853B-05F7307234B8}" uniqueName="3" name="Naam vereniging" totalsRowFunction="count" queryTableFieldId="3" dataDxfId="565"/>
    <tableColumn id="4" xr3:uid="{E83530C6-50B2-4ED6-ACF6-C5FE9C917B8A}" uniqueName="4" name="Delegatie" totalsRowFunction="custom" queryTableFieldId="4" dataDxfId="564">
      <totalsRowFormula>COUNTIF(Kringdagen[Delegatie],"x")</totalsRowFormula>
    </tableColumn>
    <tableColumn id="5" xr3:uid="{7E09E7CC-EED9-4C4B-9E81-D0E289EE75C2}" uniqueName="5" name="Muziekkorps bij mars en defilé" totalsRowFunction="custom" queryTableFieldId="5" dataDxfId="563" totalsRowDxfId="568">
      <totalsRowFormula>COUNTIF(Kringdagen[Muziekkorps bij mars en defilé],"x")</totalsRowFormula>
    </tableColumn>
    <tableColumn id="6" xr3:uid="{E6678213-BCA5-4FB3-8DE9-19B341796385}" uniqueName="6" name="Deeln. jeugdkoningschieten" totalsRowFunction="custom" queryTableFieldId="6" dataDxfId="562" totalsRowDxfId="569">
      <totalsRowFormula>COUNTIF(Kringdagen[Deeln. jeugdkoningschieten],"x")</totalsRowFormula>
    </tableColumn>
    <tableColumn id="7" xr3:uid="{A897B559-E43C-40AE-A514-5712E01E2677}" uniqueName="7" name="Maj. Senioren jureren bij mars" totalsRowFunction="custom" queryTableFieldId="7" dataDxfId="561" totalsRowDxfId="570">
      <totalsRowFormula>COUNTIF(Kringdagen[Maj. Senioren jureren bij mars],"x")</totalsRowFormula>
    </tableColumn>
    <tableColumn id="8" xr3:uid="{85B05329-3894-4DE9-B6ED-E97A4071FF2A}" uniqueName="8" name="Maj. Jeugd jureren bij mars" totalsRowFunction="custom" queryTableFieldId="8" dataDxfId="560" totalsRowDxfId="571">
      <totalsRowFormula>COUNTIF(Kringdagen[Maj. Jeugd jureren bij mars],"x")</totalsRowFormula>
    </tableColumn>
    <tableColumn id="9" xr3:uid="{49CEC62B-3708-4A84-925D-9D3AB0DA0F73}" uniqueName="9" name="Korps senioren" totalsRowFunction="count" queryTableFieldId="9" dataDxfId="559" totalsRowDxfId="572"/>
    <tableColumn id="10" xr3:uid="{6B4F2F2F-1FAF-3543-924F-26F97CA37565}" uniqueName="10" name="Junioren korps 1" totalsRowFunction="count" queryTableFieldId="110"/>
    <tableColumn id="11" xr3:uid="{EB9CC774-6F36-1D41-84A1-AF44A7AC3821}" uniqueName="11" name="Junioren korps 2" totalsRowFunction="count" queryTableFieldId="111"/>
    <tableColumn id="26" xr3:uid="{925701B1-92D4-524D-BB44-975708D4E0F2}" uniqueName="26" name="Aspiranten korps 1" totalsRowFunction="count" queryTableFieldId="112"/>
    <tableColumn id="30" xr3:uid="{06CF2CCD-611C-124C-82DE-BB07FE50CBA9}" uniqueName="30" name="Aspiranten korps 2" totalsRowFunction="count" queryTableFieldId="113"/>
    <tableColumn id="12" xr3:uid="{C7AD7E12-3003-473E-919D-5850575DAB82}" uniqueName="12" name="Acrobatisch senioren" totalsRowFunction="count" queryTableFieldId="12" dataDxfId="558" totalsRowDxfId="573"/>
    <tableColumn id="13" xr3:uid="{8B567A3B-937E-4E8A-921B-3C8F818CA5BC}" uniqueName="13" name="Acrobatisch junioren" totalsRowFunction="custom" queryTableFieldId="13" dataDxfId="557" totalsRowDxfId="574">
      <totalsRowFormula>COUNTIF(Kringdagen[Acrobatisch junioren],"x")</totalsRowFormula>
    </tableColumn>
    <tableColumn id="14" xr3:uid="{46D8E097-8060-41EE-9300-00C0FE494A71}" uniqueName="14" name="Acrobatisch aspiranten" totalsRowFunction="custom" queryTableFieldId="14" dataDxfId="556" totalsRowDxfId="575">
      <totalsRowFormula>COUNTIF(Kringdagen[Acrobatisch aspiranten],"x")</totalsRowFormula>
    </tableColumn>
    <tableColumn id="15" xr3:uid="{3520E680-87C5-4FB1-83CF-64483A825E88}" uniqueName="15" name="Show senioren" queryTableFieldId="15" dataDxfId="555"/>
    <tableColumn id="16" xr3:uid="{52FBA786-F2B5-4A99-A66F-A96504BF6E62}" uniqueName="16" name="Show junioren" totalsRowFunction="count" queryTableFieldId="16" dataDxfId="554"/>
    <tableColumn id="17" xr3:uid="{6B2FC241-12E4-42BB-9EB8-B2F2D7BBDB51}" uniqueName="17" name="Show aspiranten" totalsRowFunction="count" queryTableFieldId="17" dataDxfId="553"/>
    <tableColumn id="18" xr3:uid="{C7144BC3-9507-4F1F-839C-D9B47BC35129}" uniqueName="18" name="Senioren indiv." totalsRowFunction="sum" queryTableFieldId="18" dataDxfId="552" totalsRowDxfId="576"/>
    <tableColumn id="19" xr3:uid="{B7406091-1217-477A-B658-F33626FCC096}" uniqueName="19" name="Junioren indiv." totalsRowFunction="sum" queryTableFieldId="19" dataDxfId="551" totalsRowDxfId="577"/>
    <tableColumn id="20" xr3:uid="{B805D14A-8A89-4BDB-9E34-7FDE41080043}" uniqueName="20" name="Aspiranten indiv." totalsRowFunction="sum" queryTableFieldId="20" dataDxfId="550" totalsRowDxfId="578"/>
    <tableColumn id="21" xr3:uid="{DA0C42EE-0211-4EAE-AA77-10ECFC275046}" uniqueName="21" name="Sen. ind opgegeven namen" totalsRowFunction="sum" queryTableFieldId="21" dataDxfId="549" totalsRowDxfId="579"/>
    <tableColumn id="22" xr3:uid="{22C736A7-9D4B-4B04-900B-6389D7770216}" uniqueName="22" name="Jun. ind opgegeven namen" totalsRowFunction="sum" queryTableFieldId="22" dataDxfId="548" totalsRowDxfId="580"/>
    <tableColumn id="23" xr3:uid="{EA2F5761-2CD1-4E57-B92B-A330394439F7}" uniqueName="23" name="Asp. ind opgegeven namen" totalsRowFunction="sum" queryTableFieldId="23" dataDxfId="547" totalsRowDxfId="581"/>
    <tableColumn id="24" xr3:uid="{D2315A47-D679-4C3E-9008-01944CDEA104}" uniqueName="24" name="Hoofdkorps" totalsRowFunction="custom" queryTableFieldId="24" dataDxfId="546" totalsRowDxfId="582">
      <totalsRowFormula>COUNTIF(Kringdagen[Hoofdkorps],"x")</totalsRowFormula>
    </tableColumn>
    <tableColumn id="25" xr3:uid="{65EEC1D3-27E6-4BBF-B43D-0095CEFABF66}" uniqueName="25" name="2e korps" totalsRowFunction="custom" queryTableFieldId="25" dataDxfId="545" totalsRowDxfId="583">
      <totalsRowFormula>COUNTIF(Kringdagen[2e korps],"x")</totalsRowFormula>
    </tableColumn>
    <tableColumn id="31" xr3:uid="{00B2A2A4-B8ED-49A0-9F8F-38F89F43411A}" uniqueName="31" name="Groepen, teams, ensembles en duo's" totalsRowFunction="count" queryTableFieldId="78"/>
    <tableColumn id="27" xr3:uid="{7BB4D3FC-109D-47BA-B9BD-B08D2B1288FB}" uniqueName="27" name="Senioren" totalsRowFunction="sum" queryTableFieldId="27" dataDxfId="544"/>
    <tableColumn id="32" xr3:uid="{CC331888-BB39-4C72-8420-9A514DA0BFCF}" uniqueName="32" name="Jong volwassene" totalsRowFunction="sum" queryTableFieldId="79"/>
    <tableColumn id="28" xr3:uid="{D70C281E-A0B6-47CA-BB3C-7AA5560A4CC2}" uniqueName="28" name="Junioren" totalsRowFunction="sum" queryTableFieldId="28" dataDxfId="543"/>
    <tableColumn id="29" xr3:uid="{A6A55D24-90D7-4793-953C-8BED0C9CA667}" uniqueName="29" name="Aspiranten" totalsRowFunction="sum" queryTableFieldId="29" dataDxfId="542"/>
    <tableColumn id="35" xr3:uid="{D8A1205A-C81A-44D1-8F2D-60C384E136F5}" uniqueName="35" name="Opgegeven senioren" totalsRowFunction="sum" queryTableFieldId="80"/>
    <tableColumn id="37" xr3:uid="{933810B6-BBB9-4FEF-8CBF-B9F27056FC92}" uniqueName="37" name="Opgegeven jong volwassene" totalsRowFunction="sum" queryTableFieldId="81"/>
    <tableColumn id="39" xr3:uid="{6BD908E3-DF48-4688-97C8-B6EAE72A91DD}" uniqueName="39" name="Opgegeven junioren" totalsRowFunction="sum" queryTableFieldId="82"/>
    <tableColumn id="41" xr3:uid="{1984258B-546E-423D-AFE2-AA763DC9A4A4}" uniqueName="41" name="Opgegeven aspiranten" totalsRowFunction="sum" queryTableFieldId="83"/>
    <tableColumn id="33" xr3:uid="{326E8F18-C19B-456E-86C1-3ADD38D94464}" uniqueName="33" name="Marketentsters" totalsRowFunction="custom" queryTableFieldId="33" dataDxfId="541">
      <totalsRowFormula>COUNTIF(Kringdagen[Acrobatisch aspiranten],"x")</totalsRowFormula>
    </tableColumn>
    <tableColumn id="34" xr3:uid="{D67523FD-729A-4875-B750-2E0984FC2AFC}" uniqueName="34" name="Luchtgeweer" totalsRowFunction="custom" queryTableFieldId="34" dataDxfId="540">
      <totalsRowFormula>COUNTIF(Kringdagen[Luchtgeweer],"x")</totalsRowFormula>
    </tableColumn>
    <tableColumn id="42" xr3:uid="{9B139311-D274-49A8-94E7-1AD6DCCB25D3}" uniqueName="42" name="Aantal luchtgeweerschutters" totalsRowFunction="sum" queryTableFieldId="84"/>
    <tableColumn id="36" xr3:uid="{289B9A18-0C3D-4168-B8C1-F78C2257FB79}" uniqueName="36" name="Luchtpistool" totalsRowFunction="custom" queryTableFieldId="36" dataDxfId="539">
      <totalsRowFormula>COUNTIF(Kringdagen[Luchtpistool],"x")</totalsRowFormula>
    </tableColumn>
    <tableColumn id="43" xr3:uid="{3672FD41-3E0F-42CD-9F45-6131E27DA8F2}" uniqueName="43" name="Aantal luchtpistoolschutters" totalsRowFunction="sum" queryTableFieldId="85"/>
    <tableColumn id="40" xr3:uid="{F8B26F13-01CD-4495-93AB-15F10A1049AD}" uniqueName="40" name="Handboog" totalsRowFunction="custom" queryTableFieldId="40" dataDxfId="538">
      <totalsRowFormula>COUNTIF(Kringdagen[Handboog],"x")</totalsRowFormula>
    </tableColumn>
    <tableColumn id="44" xr3:uid="{D7D759F3-208D-4B2D-BB20-8EE723E9D536}" uniqueName="44" name="Aantal handboogschutters" totalsRowFunction="sum" queryTableFieldId="86"/>
    <tableColumn id="38" xr3:uid="{BF15A180-6B6D-4D01-8D56-94BD5C65421C}" uniqueName="38" name="Kruisboog" totalsRowFunction="custom" queryTableFieldId="38" dataDxfId="537">
      <totalsRowFormula>COUNTIF(Kringdagen[Kruisboog],"x")</totalsRowFormula>
    </tableColumn>
    <tableColumn id="71" xr3:uid="{5728B2C7-1DB9-4032-81F2-ACA15494CC6F}" uniqueName="71" name="Aantal kruisboogschutters" totalsRowFunction="sum" queryTableFieldId="87"/>
    <tableColumn id="72" xr3:uid="{BFB9E05E-1721-447B-92B4-9D9D1847611E}" uniqueName="72" name="Luchtgeweer jeugd niet ouder dan 17 jaar." totalsRowFunction="custom" queryTableFieldId="88" dataDxfId="536">
      <totalsRowFormula>COUNTIF(Kringdagen[[#Headers],[#Data],[Luchtgeweer jeugd niet ouder dan 17 jaar.]],"x")</totalsRowFormula>
    </tableColumn>
    <tableColumn id="73" xr3:uid="{527D85A2-785F-4C31-9343-1F5772082267}" uniqueName="73" name="Aantal korpsen" totalsRowFunction="sum" queryTableFieldId="89"/>
    <tableColumn id="74" xr3:uid="{11DE4FF6-2DB3-4BAB-A81C-98B03ACD130F}" uniqueName="74" name="Opgegeven jeugdkorpsen LG" totalsRowFunction="sum" queryTableFieldId="90"/>
    <tableColumn id="45" xr3:uid="{487581FD-47FD-4B43-B4CD-B3CB14A5658D}" uniqueName="45" name="Totaal aantal deelnemers" totalsRowFunction="sum" queryTableFieldId="45" dataDxfId="535"/>
    <tableColumn id="46" xr3:uid="{24CE9FFA-B58D-41F3-B403-2A7455C510FA}" uniqueName="46" name="Waarvan aantal jeugd (t/m 15 jaar)" totalsRowFunction="sum" queryTableFieldId="46" dataDxfId="534"/>
    <tableColumn id="47" xr3:uid="{F4FDD882-9499-4143-B293-D33292BE1EDD}" uniqueName="47" name="Kanon etc." totalsRowFunction="custom" queryTableFieldId="47" dataDxfId="533">
      <totalsRowFormula>COUNTIF(Kringdagen[Kanon etc.],"x")</totalsRowFormula>
    </tableColumn>
    <tableColumn id="48" xr3:uid="{BFBCCAD4-A36E-473C-AABB-E13B45AC4056}" uniqueName="48" name="Paarden en/of koetsen" totalsRowFunction="custom" queryTableFieldId="48" dataDxfId="532">
      <totalsRowFormula>COUNTIF(Kringdagen[Paarden en/of koetsen],"x")</totalsRowFormula>
    </tableColumn>
    <tableColumn id="49" xr3:uid="{A7B1F859-9BFD-4A99-8275-1C36781803C9}" uniqueName="49" name="Toelichting/opmerkingen" queryTableFieldId="49" dataDxfId="531" totalsRowDxfId="584"/>
    <tableColumn id="50" xr3:uid="{7CDF31B1-5BC8-4AC1-B0C4-721328656AA8}" uniqueName="50" name="Inzending-ID" queryTableFieldId="50" dataDxfId="530"/>
    <tableColumn id="51" xr3:uid="{584A802D-3439-4ACA-AFDC-FC30D9E20F1B}" uniqueName="51" name="Inzenddatum" queryTableFieldId="51" dataDxfId="529"/>
    <tableColumn id="75" xr3:uid="{5A64AE3D-0A3E-4214-AA7A-0BD95C97BB7D}" uniqueName="75" name="Date Updated" queryTableFieldId="91" dataDxfId="528"/>
    <tableColumn id="52" xr3:uid="{3B7A1945-C475-49E0-821E-DE1E932FC754}" uniqueName="52" name="Naam van het hoofdkorps" queryTableFieldId="52" dataDxfId="527"/>
    <tableColumn id="53" xr3:uid="{AC4D1791-8940-4916-AF6A-5C3B622C6244}" uniqueName="53" name="Zal op treden als (hoofdkorps)" queryTableFieldId="53" dataDxfId="526"/>
    <tableColumn id="54" xr3:uid="{8205D8BF-789B-4766-89ED-5BEEB61F4F3E}" uniqueName="54" name="Vorm van twee muziekwerken (hoofdkorps)" queryTableFieldId="54" dataDxfId="525"/>
    <tableColumn id="55" xr3:uid="{38D02A87-0B62-4193-BB26-814D3F0F7CE3}" uniqueName="55" name="Zal uitkomen in de: (hoofdkorps)" queryTableFieldId="55" dataDxfId="524"/>
    <tableColumn id="56" xr3:uid="{5A373806-0F74-4F9E-8F05-ABC018CB841B}" uniqueName="56" name="Muziekwerk1 (hoofdkorps)" queryTableFieldId="56" dataDxfId="523"/>
    <tableColumn id="57" xr3:uid="{FD3115BA-A8B0-4983-BB09-1D0734FFF11D}" uniqueName="57" name="Muziekwerk2 (hoofdkorps)" queryTableFieldId="57" dataDxfId="522"/>
    <tableColumn id="58" xr3:uid="{538579BC-A4B4-41B7-A0E4-5ED6CE267985}" uniqueName="58" name="Korps bestaat uit ... deelnemers (hoofdkorps)" queryTableFieldId="58" dataDxfId="521"/>
    <tableColumn id="59" xr3:uid="{B6BF2D51-68AA-4A33-AEB5-BF9246AACE9A}" uniqueName="59" name="Naam van het 2e korps" queryTableFieldId="59" dataDxfId="520"/>
    <tableColumn id="60" xr3:uid="{421F5F90-267D-4901-9B8E-991C5897AC60}" uniqueName="60" name="Zal op treden als (2e korps)" queryTableFieldId="60" dataDxfId="519"/>
    <tableColumn id="61" xr3:uid="{8448A063-B19D-4184-B8C7-25D0479A5D0C}" uniqueName="61" name="Vorm van twee muziekwerken (2e korps)" queryTableFieldId="61" dataDxfId="518"/>
    <tableColumn id="62" xr3:uid="{44056152-530D-483A-9546-BFE5C52E9BA6}" uniqueName="62" name="Zal uitkomen in de: (2e korps)" queryTableFieldId="62" dataDxfId="517"/>
    <tableColumn id="63" xr3:uid="{FB032110-844D-4A34-925E-237A62033908}" uniqueName="63" name="Muziekwerk1 (2e korps)" queryTableFieldId="63" dataDxfId="516"/>
    <tableColumn id="64" xr3:uid="{A63C4752-27A4-4642-989D-48A16EB8534B}" uniqueName="64" name="Muziekwerk2 (2e korps)" queryTableFieldId="64" dataDxfId="515" totalsRowDxfId="585"/>
    <tableColumn id="65" xr3:uid="{5C72AC6E-8F73-4B3D-AD19-BDA77DA16FA9}" uniqueName="65" name="Korps bestaat uit ... deelnemers (2e korps)" queryTableFieldId="65" dataDxfId="514" totalsRowDxfId="586"/>
    <tableColumn id="69" xr3:uid="{4321D970-37D1-4901-B966-516EDF83B5C1}" uniqueName="69" name="Mechanische muziek" queryTableFieldId="69" dataDxfId="513" totalsRowDxfId="587"/>
    <tableColumn id="66" xr3:uid="{F8AAA117-DE18-4F31-8CC3-9BFE50C3F6CC}" uniqueName="66" name="Onderdelen" queryTableFieldId="66" dataDxfId="512" totalsRowDxfId="588"/>
    <tableColumn id="67" xr3:uid="{8BD9FAD2-8AD0-4E46-9B1E-ADF442282474}" uniqueName="67" name="Secties" queryTableFieldId="67" dataDxfId="511" totalsRowDxfId="589"/>
    <tableColumn id="68" xr3:uid="{A2FDF1E3-65B9-4616-9296-F9BC2DBF4E46}" uniqueName="68" name="Leeftijdscategorie" queryTableFieldId="68" dataDxfId="510" totalsRowDxfId="590"/>
    <tableColumn id="70" xr3:uid="{4119D92A-81F3-4CA7-8040-7C262720EC7A}" uniqueName="70" name="Aantal opgegeven majorettes" totalsRowFunction="sum" queryTableFieldId="70" dataDxfId="509" totalsRowDxfId="59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D540B2-EAF0-4DE2-B57B-B123CBAF77F8}" name="KDM" displayName="KDM" ref="A7:BW13" tableType="queryTable" totalsRowCount="1" headerRowDxfId="856" dataDxfId="855" totalsRowDxfId="854">
  <autoFilter ref="A7:BW12" xr:uid="{2CD540B2-EAF0-4DE2-B57B-B123CBAF77F8}"/>
  <tableColumns count="75">
    <tableColumn id="1" xr3:uid="{1103BBA0-A8BC-4D47-8FCD-A3FDFA000991}" uniqueName="1" name="Kringdag" totalsRowLabel="Totaal" queryTableFieldId="1" dataDxfId="742"/>
    <tableColumn id="2" xr3:uid="{C7B4BCD5-1C5D-4BF7-BAED-3A0C2CB1F3D1}" uniqueName="2" name="Ver.nr" queryTableFieldId="2" dataDxfId="741"/>
    <tableColumn id="3" xr3:uid="{9DA68F7A-F5A4-430F-AA1A-B1A621DAF4EE}" uniqueName="3" name="Naam vereniging" totalsRowFunction="count" queryTableFieldId="3" dataDxfId="740" totalsRowDxfId="743"/>
    <tableColumn id="4" xr3:uid="{56F38DBD-5A2B-46D1-8142-1B151DE834FE}" uniqueName="4" name="Delegatie" totalsRowFunction="custom" queryTableFieldId="4" dataDxfId="739" totalsRowDxfId="744">
      <totalsRowFormula>COUNTIF(KDM[Delegatie],"x")</totalsRowFormula>
    </tableColumn>
    <tableColumn id="5" xr3:uid="{0A6A9C30-5B27-412A-BB0B-519280B4824B}" uniqueName="5" name="Muziekkorps bij mars en defilé" totalsRowFunction="custom" queryTableFieldId="5" dataDxfId="738" totalsRowDxfId="745">
      <totalsRowFormula>COUNTIF(KDM[Muziekkorps bij mars en defilé],"x")</totalsRowFormula>
    </tableColumn>
    <tableColumn id="6" xr3:uid="{0EF1B394-669B-4312-A165-6ED5704C248D}" uniqueName="6" name="Deeln. jeugdkoningschieten" totalsRowFunction="custom" queryTableFieldId="6" dataDxfId="737" totalsRowDxfId="746">
      <totalsRowFormula>COUNTIF(KDM[Deeln. jeugdkoningschieten],"x")</totalsRowFormula>
    </tableColumn>
    <tableColumn id="7" xr3:uid="{0E14AC65-9321-47FF-9069-7F59147E815C}" uniqueName="7" name="Maj. Senioren jureren bij mars" totalsRowFunction="custom" queryTableFieldId="7" dataDxfId="736" totalsRowDxfId="747">
      <totalsRowFormula>COUNTIF(KDM[Maj. Senioren jureren bij mars],"x")</totalsRowFormula>
    </tableColumn>
    <tableColumn id="8" xr3:uid="{86F1F864-AE5F-430C-AAD0-2F423ED0C79A}" uniqueName="8" name="Maj. Jeugd jureren bij mars" totalsRowFunction="custom" queryTableFieldId="8" dataDxfId="735" totalsRowDxfId="748">
      <totalsRowFormula>COUNTIF(KDM[Maj. Jeugd jureren bij mars],"x")</totalsRowFormula>
    </tableColumn>
    <tableColumn id="9" xr3:uid="{4D16CC4B-0392-434F-BB5E-9A77AACD0570}" uniqueName="9" name="Korps senioren" totalsRowFunction="count" queryTableFieldId="9" dataDxfId="734" totalsRowDxfId="749"/>
    <tableColumn id="10" xr3:uid="{52B04DEF-7B7A-4605-B991-CE2214297B0A}" uniqueName="10" name="Junioren korps 1" totalsRowFunction="count" queryTableFieldId="120" dataDxfId="733" totalsRowDxfId="750"/>
    <tableColumn id="11" xr3:uid="{DE4F4F56-4A22-4646-A428-8BFCB0383503}" uniqueName="11" name="Junioren korps 2" totalsRowFunction="count" queryTableFieldId="121" dataDxfId="732" totalsRowDxfId="751"/>
    <tableColumn id="26" xr3:uid="{427F84BA-67CF-4528-8E9C-B2ACC2AAEFF1}" uniqueName="26" name="Aspiranten korps 1" totalsRowFunction="count" queryTableFieldId="122" dataDxfId="731" totalsRowDxfId="752"/>
    <tableColumn id="30" xr3:uid="{8DAFA16D-00E8-44E9-ABD8-EE403D7CDB78}" uniqueName="30" name="Aspiranten korps 2" totalsRowFunction="count" queryTableFieldId="123" dataDxfId="730" totalsRowDxfId="753"/>
    <tableColumn id="12" xr3:uid="{AC0F6136-3715-4379-A358-A022D71C9CF2}" uniqueName="12" name="Acrobatisch senioren" totalsRowFunction="count" queryTableFieldId="12" dataDxfId="729" totalsRowDxfId="754"/>
    <tableColumn id="13" xr3:uid="{5CB2F786-C6CD-4D31-8435-9F349EC91962}" uniqueName="13" name="Acrobatisch junioren" totalsRowFunction="count" queryTableFieldId="13" dataDxfId="728" totalsRowDxfId="755"/>
    <tableColumn id="14" xr3:uid="{67C2CBD8-0B32-4379-A0B6-849663120187}" uniqueName="14" name="Acrobatisch aspiranten" totalsRowFunction="count" queryTableFieldId="14" dataDxfId="727" totalsRowDxfId="756"/>
    <tableColumn id="15" xr3:uid="{3200A8D3-393D-48E5-A13B-28AA07B269BC}" uniqueName="15" name="Show senioren" queryTableFieldId="15" dataDxfId="726" totalsRowDxfId="757"/>
    <tableColumn id="16" xr3:uid="{BD755798-A106-4E58-AC3A-29EF81FA1C42}" uniqueName="16" name="Show junioren" queryTableFieldId="16" dataDxfId="725" totalsRowDxfId="758"/>
    <tableColumn id="17" xr3:uid="{3A30FE20-7662-492C-B9B2-C9FFC86D516B}" uniqueName="17" name="Show aspiranten" queryTableFieldId="17" dataDxfId="724" totalsRowDxfId="759"/>
    <tableColumn id="18" xr3:uid="{E22007BB-0174-429F-84CA-CF78AA079CB6}" uniqueName="18" name="Senioren indiv." totalsRowFunction="sum" queryTableFieldId="18" dataDxfId="723" totalsRowDxfId="760"/>
    <tableColumn id="19" xr3:uid="{EBBB12A6-43FC-4D97-8CD4-597AA9E51031}" uniqueName="19" name="Junioren indiv." totalsRowFunction="sum" queryTableFieldId="19" dataDxfId="722" totalsRowDxfId="761"/>
    <tableColumn id="20" xr3:uid="{21DA1D24-967A-4096-A692-28F6B39AAEEE}" uniqueName="20" name="Aspiranten indiv." totalsRowFunction="sum" queryTableFieldId="20" dataDxfId="721" totalsRowDxfId="762"/>
    <tableColumn id="21" xr3:uid="{727ECB18-6D8E-46D0-B56F-DAF816B707FF}" uniqueName="21" name="Sen. ind opgegeven namen" totalsRowFunction="sum" queryTableFieldId="21" dataDxfId="720" totalsRowDxfId="763"/>
    <tableColumn id="22" xr3:uid="{CE2410D8-CF76-4736-A78E-4123FB23E9F9}" uniqueName="22" name="Jun. ind opgegeven namen" totalsRowFunction="sum" queryTableFieldId="22" dataDxfId="719" totalsRowDxfId="764"/>
    <tableColumn id="23" xr3:uid="{D135BAA9-49F7-4641-B3D6-4DF752244534}" uniqueName="23" name="Asp. ind opgegeven namen" totalsRowFunction="sum" queryTableFieldId="23" dataDxfId="718" totalsRowDxfId="765"/>
    <tableColumn id="24" xr3:uid="{6667AB92-4EEA-44D6-A4DD-B0434FEA668E}" uniqueName="24" name="Hoofdkorps" totalsRowFunction="custom" queryTableFieldId="24" dataDxfId="717" totalsRowDxfId="766">
      <totalsRowFormula>COUNTIF(KDM[Hoofdkorps],"x")</totalsRowFormula>
    </tableColumn>
    <tableColumn id="25" xr3:uid="{D8B8BB65-4A90-4631-8E7A-4D3AA8552A9C}" uniqueName="25" name="2e korps" totalsRowFunction="custom" queryTableFieldId="25" dataDxfId="716" totalsRowDxfId="767">
      <totalsRowFormula>COUNTIF(KDM[2e korps],"x")</totalsRowFormula>
    </tableColumn>
    <tableColumn id="31" xr3:uid="{B09B6154-3422-4137-B51A-8DEE0F9F462D}" uniqueName="31" name="Groepen, teams, ensembles en duo's" totalsRowFunction="sum" queryTableFieldId="80" dataDxfId="715" totalsRowDxfId="768"/>
    <tableColumn id="27" xr3:uid="{256C4587-E989-4647-AA31-C1624FA2FEAC}" uniqueName="27" name="Senioren" totalsRowFunction="sum" queryTableFieldId="27" dataDxfId="714" totalsRowDxfId="769"/>
    <tableColumn id="32" xr3:uid="{C0370C61-D9F6-4797-B3B8-F2D1C9BB4852}" uniqueName="32" name="Jong volwassene" totalsRowFunction="sum" queryTableFieldId="81" totalsRowDxfId="770"/>
    <tableColumn id="28" xr3:uid="{54FE8F08-70CE-4FD0-96CD-8E868167C7D2}" uniqueName="28" name="Junioren" totalsRowFunction="sum" queryTableFieldId="28" dataDxfId="713" totalsRowDxfId="771"/>
    <tableColumn id="29" xr3:uid="{2E865A1A-3C71-466A-8934-91FE60012A60}" uniqueName="29" name="Aspiranten" totalsRowFunction="sum" queryTableFieldId="29" dataDxfId="712" totalsRowDxfId="772"/>
    <tableColumn id="35" xr3:uid="{81C3194F-DD43-4F92-9593-79357F8786EB}" uniqueName="35" name="Opgegeven senioren" totalsRowFunction="sum" queryTableFieldId="82" dataDxfId="711" totalsRowDxfId="773"/>
    <tableColumn id="37" xr3:uid="{6E0C519F-6EB0-4334-9B1A-F596E8E454AC}" uniqueName="37" name="Opgegeven jong volwassene" totalsRowFunction="sum" queryTableFieldId="83" dataDxfId="710" totalsRowDxfId="774"/>
    <tableColumn id="39" xr3:uid="{E3029DBD-E0FB-4C50-9468-CA660DE3025A}" uniqueName="39" name="Opgegeven junioren" totalsRowFunction="sum" queryTableFieldId="84" totalsRowDxfId="775"/>
    <tableColumn id="41" xr3:uid="{35732D12-A7C4-42C4-BE23-5697B89EEC73}" uniqueName="41" name="Opgegeven aspiranten" totalsRowFunction="sum" queryTableFieldId="85" dataDxfId="709" totalsRowDxfId="776"/>
    <tableColumn id="33" xr3:uid="{BF03D043-517D-4DB3-9286-0D15F4B1A397}" uniqueName="33" name="Marketentsters" totalsRowFunction="custom" queryTableFieldId="33" dataDxfId="708" totalsRowDxfId="777">
      <totalsRowFormula>COUNTIF(KDM[Marketentsters],"x")</totalsRowFormula>
    </tableColumn>
    <tableColumn id="34" xr3:uid="{51F54AC5-F9AE-4FE8-BA0F-54081FBE5E81}" uniqueName="34" name="Luchtgeweer" totalsRowFunction="custom" queryTableFieldId="34" dataDxfId="707" totalsRowDxfId="778">
      <totalsRowFormula>COUNTIF(KDM[Luchtgeweer],"x")</totalsRowFormula>
    </tableColumn>
    <tableColumn id="42" xr3:uid="{AD32ACC3-2A54-43AA-9148-7EA9E6D56965}" uniqueName="42" name="Aantal luchtgeweerschutters" totalsRowFunction="sum" queryTableFieldId="86" totalsRowDxfId="779"/>
    <tableColumn id="36" xr3:uid="{0CC42708-8DCC-439B-89E3-BDDE53979283}" uniqueName="36" name="Luchtpistool" totalsRowFunction="custom" queryTableFieldId="36" dataDxfId="706" totalsRowDxfId="780">
      <totalsRowFormula>COUNTIF(KDM[Luchtpistool],"x")</totalsRowFormula>
    </tableColumn>
    <tableColumn id="43" xr3:uid="{FFBFE65D-31DA-457C-BE80-FC187203B147}" uniqueName="43" name="Aantal luchtpistoolschutters" totalsRowFunction="sum" queryTableFieldId="87" totalsRowDxfId="781"/>
    <tableColumn id="40" xr3:uid="{EBF61A57-DD1C-47D2-8CCA-41A0F57B1A96}" uniqueName="40" name="Handboog" totalsRowFunction="custom" queryTableFieldId="40" dataDxfId="705" totalsRowDxfId="782">
      <totalsRowFormula>COUNTIF(KDM[Handboog],"x")</totalsRowFormula>
    </tableColumn>
    <tableColumn id="44" xr3:uid="{29163F03-74A3-4353-83DF-892EC5A017A2}" uniqueName="44" name="Aantal handboogschutters" totalsRowFunction="sum" queryTableFieldId="88" totalsRowDxfId="783"/>
    <tableColumn id="38" xr3:uid="{FAA925D4-01EA-4240-92AF-E0481E5FDB4E}" uniqueName="38" name="Kruisboog" totalsRowFunction="custom" queryTableFieldId="38" dataDxfId="704" totalsRowDxfId="784">
      <totalsRowFormula>COUNTIF(KDM[Kruisboog],"x")</totalsRowFormula>
    </tableColumn>
    <tableColumn id="71" xr3:uid="{C43138BE-F656-4EA0-9DB0-2B9C0994481F}" uniqueName="71" name="Aantal kruisboogschutters" totalsRowFunction="sum" queryTableFieldId="89" totalsRowDxfId="785"/>
    <tableColumn id="72" xr3:uid="{498E0BB8-7958-483C-B657-8BB77F0FB837}" uniqueName="72" name="Luchtgeweer jeugd niet ouder dan 17 jaar." totalsRowFunction="custom" queryTableFieldId="90" totalsRowDxfId="786">
      <totalsRowFormula>COUNTIF(KDM[Luchtgeweer jeugd niet ouder dan 17 jaar.],"x")</totalsRowFormula>
    </tableColumn>
    <tableColumn id="73" xr3:uid="{EF49EA19-FFFC-4C92-9B2C-86AA91A50C3D}" uniqueName="73" name="Aantal korpsen" totalsRowFunction="sum" queryTableFieldId="91" totalsRowDxfId="787"/>
    <tableColumn id="74" xr3:uid="{BF742F9A-AB07-41AB-9E1D-AB7B7B3271C4}" uniqueName="74" name="Opgegeven jeugdkorpsen LG" totalsRowFunction="sum" queryTableFieldId="92" totalsRowDxfId="788"/>
    <tableColumn id="45" xr3:uid="{19947D8E-C146-4F61-8E81-67BD20023F28}" uniqueName="45" name="Totaal aantal deelnemers" totalsRowFunction="sum" queryTableFieldId="45" dataDxfId="703" totalsRowDxfId="789"/>
    <tableColumn id="46" xr3:uid="{BB8D92BB-D698-4DE2-8134-A64DC678E0D4}" uniqueName="46" name="Waarvan aantal jeugd (t/m 15 jaar)" totalsRowFunction="sum" queryTableFieldId="46" dataDxfId="702" totalsRowDxfId="790"/>
    <tableColumn id="47" xr3:uid="{1B7EF0F4-ACE2-4E41-9F1B-912D63ADE04E}" uniqueName="47" name="Kanon etc." totalsRowFunction="custom" queryTableFieldId="47" dataDxfId="701" totalsRowDxfId="791">
      <totalsRowFormula>COUNTIF(KDM[Kanon etc.],"x")</totalsRowFormula>
    </tableColumn>
    <tableColumn id="48" xr3:uid="{7007A11F-6D10-44D9-86B5-53AAE3FE5038}" uniqueName="48" name="Paarden en/of koetsen" totalsRowFunction="custom" queryTableFieldId="48" dataDxfId="700" totalsRowDxfId="792">
      <totalsRowFormula>COUNTIF(KDM[Paarden en/of koetsen],"x")</totalsRowFormula>
    </tableColumn>
    <tableColumn id="49" xr3:uid="{5A6DB413-3256-420D-A58A-662346BDCF67}" uniqueName="49" name="Toelichting/opmerkingen" queryTableFieldId="49" dataDxfId="699" totalsRowDxfId="793"/>
    <tableColumn id="50" xr3:uid="{6FBEB53C-FE4E-4FE9-A15E-1549EA66F05B}" uniqueName="50" name="Inzending-ID" queryTableFieldId="50" totalsRowDxfId="794"/>
    <tableColumn id="51" xr3:uid="{344A8F98-6529-45AB-9EA1-CAC68E8EA1D6}" uniqueName="51" name="Inzenddatum" queryTableFieldId="51" dataDxfId="698" totalsRowDxfId="795"/>
    <tableColumn id="75" xr3:uid="{0190D9CB-AEC1-474C-B0C9-2997F247F263}" uniqueName="75" name="Date Updated" queryTableFieldId="93" dataDxfId="697" totalsRowDxfId="796"/>
    <tableColumn id="52" xr3:uid="{59AD6DB3-558C-4CE3-AE1C-3F6D275437D2}" uniqueName="52" name="Naam van het hoofdkorps" queryTableFieldId="52" totalsRowDxfId="797"/>
    <tableColumn id="53" xr3:uid="{1E6E0AB3-6015-4B6B-9965-94D3A13E0117}" uniqueName="53" name="Zal op treden als (hoofdkorps)" queryTableFieldId="53" totalsRowDxfId="798"/>
    <tableColumn id="54" xr3:uid="{3F26E9C8-0175-4E71-978E-080659366137}" uniqueName="54" name="Vorm van twee muziekwerken (hoofdkorps)" queryTableFieldId="54" totalsRowDxfId="799"/>
    <tableColumn id="55" xr3:uid="{EE89679C-3970-404F-9DC4-1E46686BDAE4}" uniqueName="55" name="Zal uitkomen in de: (hoofdkorps)" queryTableFieldId="55" totalsRowDxfId="800"/>
    <tableColumn id="56" xr3:uid="{8E3A8F5A-F2ED-479D-AA23-12C3B156CA44}" uniqueName="56" name="Muziekwerk1 (hoofdkorps)" queryTableFieldId="56" totalsRowDxfId="801"/>
    <tableColumn id="57" xr3:uid="{B3F66E59-A470-4AD5-BCB9-792E70E49122}" uniqueName="57" name="Muziekwerk2 (hoofdkorps)" queryTableFieldId="57" totalsRowDxfId="802"/>
    <tableColumn id="58" xr3:uid="{5BD80B3A-4601-40F3-9C5F-D5745A2E1D4F}" uniqueName="58" name="Korps bestaat uit ... deelnemers (hoofdkorps)" queryTableFieldId="58" totalsRowDxfId="803"/>
    <tableColumn id="59" xr3:uid="{6451A10A-8F21-479F-81F4-05223DCEF067}" uniqueName="59" name="Naam van het 2e korps" queryTableFieldId="59" totalsRowDxfId="804"/>
    <tableColumn id="60" xr3:uid="{4EA1AC0E-82AF-48C9-9A20-754D75158E2A}" uniqueName="60" name="Zal op treden als (2e korps)" queryTableFieldId="60" totalsRowDxfId="805"/>
    <tableColumn id="61" xr3:uid="{7EC431FA-4B8A-4F25-B8BB-20A579B53005}" uniqueName="61" name="Vorm van twee muziekwerken (2e korps)" queryTableFieldId="61" totalsRowDxfId="806"/>
    <tableColumn id="62" xr3:uid="{849EE010-E7D6-4D9A-9D23-56B356AF0CA3}" uniqueName="62" name="Zal uitkomen in de: (2e korps)" queryTableFieldId="62" totalsRowDxfId="807"/>
    <tableColumn id="63" xr3:uid="{94F7FEBF-4B5B-4A7C-A471-B08B86B9310D}" uniqueName="63" name="Muziekwerk1 (2e korps)" queryTableFieldId="63" totalsRowDxfId="808"/>
    <tableColumn id="64" xr3:uid="{33C24921-A5F4-4638-8F58-935D9D9EDCA2}" uniqueName="64" name="Muziekwerk2 (2e korps)" queryTableFieldId="64" totalsRowDxfId="809"/>
    <tableColumn id="65" xr3:uid="{F7EABD4C-084D-4662-AD89-CB1E4F218DD7}" uniqueName="65" name="Korps bestaat uit ... deelnemers (2e korps)" queryTableFieldId="65" totalsRowDxfId="810"/>
    <tableColumn id="69" xr3:uid="{FB2AB4C9-6C3D-4BF2-9B4F-41C9179239B0}" uniqueName="69" name="Mechanische muziek" queryTableFieldId="69" totalsRowDxfId="811"/>
    <tableColumn id="66" xr3:uid="{0B450FBA-12EF-4BCE-859B-4B12FD085D93}" uniqueName="66" name="Onderdelen" queryTableFieldId="66" totalsRowDxfId="812"/>
    <tableColumn id="67" xr3:uid="{0015294C-99BF-4EDB-A3AF-578345E11467}" uniqueName="67" name="Secties" queryTableFieldId="67" totalsRowDxfId="813"/>
    <tableColumn id="68" xr3:uid="{4F44F759-96C2-4758-96A5-ED0DFA76F905}" uniqueName="68" name="Leeftijdscategorie" queryTableFieldId="68" totalsRowDxfId="814"/>
    <tableColumn id="70" xr3:uid="{884558A7-621E-4038-A8CB-DC3F0C3BC985}" uniqueName="70" name="Aantal opgegeven majorettes" totalsRowFunction="sum" queryTableFieldId="70" dataDxfId="696" totalsRowDxfId="81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7859E2-FEBE-4C6B-878D-0D5F2E3A3C55}" name="KDL" displayName="KDL" ref="A6:BW16" tableType="queryTable" totalsRowCount="1" headerRowDxfId="853" dataDxfId="852" totalsRowDxfId="851">
  <autoFilter ref="A6:BW15" xr:uid="{1C7859E2-FEBE-4C6B-878D-0D5F2E3A3C55}"/>
  <tableColumns count="75">
    <tableColumn id="1" xr3:uid="{EDB78B54-2831-4A3D-80E1-F75B83FDB926}" uniqueName="1" name="Kringdag" totalsRowLabel="Totaal" queryTableFieldId="1"/>
    <tableColumn id="2" xr3:uid="{0D1A2C2A-0BDC-4083-81A8-3EC5C388101A}" uniqueName="2" name="Ver.nr" queryTableFieldId="2" dataDxfId="850"/>
    <tableColumn id="3" xr3:uid="{4B36CDC0-BE6D-4356-8E00-F9631326E778}" uniqueName="3" name="Naam vereniging" totalsRowFunction="count" queryTableFieldId="3"/>
    <tableColumn id="4" xr3:uid="{57B71CC3-5284-41D1-A7D9-9906AC9634FE}" uniqueName="4" name="Delegatie" totalsRowFunction="custom" queryTableFieldId="4" dataDxfId="623" totalsRowDxfId="624">
      <totalsRowFormula>COUNTIF(KDL[Delegatie],"x")</totalsRowFormula>
    </tableColumn>
    <tableColumn id="5" xr3:uid="{9A308465-DBD5-4A7C-95A8-4E71EB8C6AAF}" uniqueName="5" name="Muziekkorps bij mars en defilé" totalsRowFunction="custom" queryTableFieldId="5" dataDxfId="622" totalsRowDxfId="625">
      <totalsRowFormula>COUNTIF(KDL[Muziekkorps bij mars en defilé],"x")</totalsRowFormula>
    </tableColumn>
    <tableColumn id="6" xr3:uid="{E5A6E810-09C2-4076-9D5E-306B6D89F27A}" uniqueName="6" name="Deeln. jeugdkoningschieten" totalsRowFunction="custom" queryTableFieldId="6" dataDxfId="621" totalsRowDxfId="626">
      <totalsRowFormula>COUNTIF(KDL[Deeln. jeugdkoningschieten],"x")</totalsRowFormula>
    </tableColumn>
    <tableColumn id="7" xr3:uid="{93BE05C0-88AF-4904-B3C7-DF10389B13F3}" uniqueName="7" name="Maj. Senioren jureren bij mars" totalsRowFunction="custom" queryTableFieldId="7" dataDxfId="620" totalsRowDxfId="627">
      <totalsRowFormula>COUNTIF(KDL[Maj. Senioren jureren bij mars],"x")</totalsRowFormula>
    </tableColumn>
    <tableColumn id="8" xr3:uid="{4C7B2FE6-832A-4E27-8246-09B69E8561ED}" uniqueName="8" name="Maj. Jeugd jureren bij mars" totalsRowFunction="custom" queryTableFieldId="8" dataDxfId="619" totalsRowDxfId="628">
      <totalsRowFormula>COUNTIF(KDL[Maj. Jeugd jureren bij mars],"x")</totalsRowFormula>
    </tableColumn>
    <tableColumn id="9" xr3:uid="{86857107-905A-45D3-A248-DF36A76EEACD}" uniqueName="9" name="Korps senioren" totalsRowFunction="count" queryTableFieldId="9" dataDxfId="618" totalsRowDxfId="629"/>
    <tableColumn id="10" xr3:uid="{64891433-2EA9-4372-ACAE-76A1D5AC81EC}" uniqueName="10" name="Junioren korps 1" totalsRowFunction="count" queryTableFieldId="118" totalsRowDxfId="630"/>
    <tableColumn id="11" xr3:uid="{B28C65B2-21C8-451E-9541-C2B66F10D332}" uniqueName="11" name="Junioren korps 2" totalsRowFunction="count" queryTableFieldId="119" totalsRowDxfId="631"/>
    <tableColumn id="26" xr3:uid="{4E739CF1-6FB4-4B45-84D9-54FCD1BB1952}" uniqueName="26" name="Aspiranten korps 1" totalsRowFunction="count" queryTableFieldId="120" totalsRowDxfId="632"/>
    <tableColumn id="30" xr3:uid="{6687C010-AB49-4766-A7C7-08EF3634C339}" uniqueName="30" name="Aspiranten korps 2" totalsRowFunction="count" queryTableFieldId="121" totalsRowDxfId="633"/>
    <tableColumn id="12" xr3:uid="{CB8CD2DD-8D30-408A-B33C-B2916D5F187D}" uniqueName="12" name="Acrobatisch senioren" totalsRowFunction="count" queryTableFieldId="12" dataDxfId="617" totalsRowDxfId="634"/>
    <tableColumn id="13" xr3:uid="{7BC2D42F-89AD-4F62-8BFD-E1AD8A37641E}" uniqueName="13" name="Acrobatisch junioren" totalsRowFunction="count" queryTableFieldId="13" dataDxfId="616" totalsRowDxfId="635"/>
    <tableColumn id="14" xr3:uid="{330BFF1B-27FC-4155-B519-6495DA9BD45B}" uniqueName="14" name="Acrobatisch aspiranten" totalsRowFunction="count" queryTableFieldId="14" dataDxfId="615" totalsRowDxfId="636"/>
    <tableColumn id="15" xr3:uid="{2D2BB7A2-8C97-49E6-B53D-63E8AF0F9F19}" uniqueName="15" name="Show senioren" queryTableFieldId="15" dataDxfId="614" totalsRowDxfId="637"/>
    <tableColumn id="16" xr3:uid="{C8AA7E52-A5AA-49D9-9C80-7E774E1ABE92}" uniqueName="16" name="Show junioren" queryTableFieldId="16" dataDxfId="613" totalsRowDxfId="638"/>
    <tableColumn id="17" xr3:uid="{9A12D42C-2B39-40A3-A2F1-2917B2720C46}" uniqueName="17" name="Show aspiranten" queryTableFieldId="17" dataDxfId="612" totalsRowDxfId="639"/>
    <tableColumn id="18" xr3:uid="{0EF7E319-9FB2-4E30-AF3A-3E5FFFD9F1B3}" uniqueName="18" name="Senioren indiv." totalsRowFunction="sum" queryTableFieldId="18" totalsRowDxfId="640"/>
    <tableColumn id="19" xr3:uid="{ACA69D3E-42F7-4DF7-994A-58F128DD57CD}" uniqueName="19" name="Junioren indiv." totalsRowFunction="sum" queryTableFieldId="19" totalsRowDxfId="641"/>
    <tableColumn id="20" xr3:uid="{7DF3479B-E7CA-4ED8-8FFB-71114DC9E25D}" uniqueName="20" name="Aspiranten indiv." totalsRowFunction="sum" queryTableFieldId="20" totalsRowDxfId="642"/>
    <tableColumn id="21" xr3:uid="{A650067B-0908-45E6-94D7-BD335B7C960E}" uniqueName="21" name="Sen. ind opgegeven namen" totalsRowFunction="sum" queryTableFieldId="21" totalsRowDxfId="643"/>
    <tableColumn id="22" xr3:uid="{612D4C3E-F94F-49C2-88F1-08C412907B83}" uniqueName="22" name="Jun. ind opgegeven namen" totalsRowFunction="sum" queryTableFieldId="22" totalsRowDxfId="644"/>
    <tableColumn id="23" xr3:uid="{633E5A2E-3E25-4ACB-A752-43604A9560A6}" uniqueName="23" name="Asp. ind opgegeven namen" totalsRowFunction="sum" queryTableFieldId="23" totalsRowDxfId="645"/>
    <tableColumn id="24" xr3:uid="{57956973-6970-47BC-9FFF-BDFB06BEC464}" uniqueName="24" name="Hoofdkorps" totalsRowFunction="custom" queryTableFieldId="24" dataDxfId="611" totalsRowDxfId="646">
      <totalsRowFormula>COUNTIF(KDL[Hoofdkorps],"x")</totalsRowFormula>
    </tableColumn>
    <tableColumn id="25" xr3:uid="{04B5A3D8-FF1D-4275-8E2B-AA4A59A34E8B}" uniqueName="25" name="2e korps" totalsRowFunction="custom" queryTableFieldId="25" dataDxfId="610" totalsRowDxfId="647">
      <totalsRowFormula>COUNTIF(KDL[2e korps],"x")</totalsRowFormula>
    </tableColumn>
    <tableColumn id="31" xr3:uid="{2433CA1F-6379-4CDF-9024-3EC6CBF0DFBF}" uniqueName="31" name="Groepen, teams, ensembles en duo's" totalsRowFunction="sum" queryTableFieldId="86" totalsRowDxfId="648"/>
    <tableColumn id="27" xr3:uid="{01EAE119-1717-4DB1-BCC1-076158F2B7D3}" uniqueName="27" name="Senioren" totalsRowFunction="sum" queryTableFieldId="27" dataDxfId="609" totalsRowDxfId="649"/>
    <tableColumn id="32" xr3:uid="{FED96D10-E0EA-4F9F-8FD4-47FED620F130}" uniqueName="32" name="Jong volwassene" totalsRowFunction="sum" queryTableFieldId="87" totalsRowDxfId="650"/>
    <tableColumn id="28" xr3:uid="{E6DAF836-35E4-476B-9579-13EEC2C54509}" uniqueName="28" name="Junioren" totalsRowFunction="sum" queryTableFieldId="28" totalsRowDxfId="651"/>
    <tableColumn id="29" xr3:uid="{B862400F-87B7-4AAF-AF98-CB5C9C41067D}" uniqueName="29" name="Aspiranten" totalsRowFunction="sum" queryTableFieldId="29" totalsRowDxfId="652"/>
    <tableColumn id="35" xr3:uid="{7A608A6E-F5CA-4BDE-97A3-3990A6548B2B}" uniqueName="35" name="Opgegeven senioren" totalsRowFunction="sum" queryTableFieldId="88" totalsRowDxfId="653"/>
    <tableColumn id="37" xr3:uid="{F4A70C4B-99E1-4110-BBD5-E5280BA35F3F}" uniqueName="37" name="Opgegeven jong volwassene" totalsRowFunction="sum" queryTableFieldId="89" totalsRowDxfId="654"/>
    <tableColumn id="39" xr3:uid="{9B8173CA-169C-4CD4-87A7-2DC9BE602D67}" uniqueName="39" name="Opgegeven junioren" totalsRowFunction="sum" queryTableFieldId="90" totalsRowDxfId="655"/>
    <tableColumn id="41" xr3:uid="{1135793E-2C37-4A39-83C0-08BD19122C9D}" uniqueName="41" name="Opgegeven aspiranten" totalsRowFunction="sum" queryTableFieldId="91" totalsRowDxfId="656"/>
    <tableColumn id="33" xr3:uid="{8FF26CA8-7516-4CEB-8709-358028484F6C}" uniqueName="33" name="Marketentsters" totalsRowFunction="custom" queryTableFieldId="33" dataDxfId="608" totalsRowDxfId="657">
      <totalsRowFormula>COUNTIF(KDL[Marketentsters],"x")</totalsRowFormula>
    </tableColumn>
    <tableColumn id="34" xr3:uid="{B0C87D6D-0274-439D-9F3B-B0658AED1BBD}" uniqueName="34" name="Luchtgeweer" totalsRowFunction="custom" queryTableFieldId="34" dataDxfId="607" totalsRowDxfId="658">
      <totalsRowFormula>COUNTIF(KDL[Luchtgeweer],"x")</totalsRowFormula>
    </tableColumn>
    <tableColumn id="42" xr3:uid="{5BE41AA9-6D2D-4AAD-AC70-B8AFB45A7A0C}" uniqueName="42" name="Aantal luchtgeweerschutters" totalsRowFunction="sum" queryTableFieldId="92" totalsRowDxfId="659"/>
    <tableColumn id="36" xr3:uid="{5C863D58-2733-4033-9435-D482AA08ADCB}" uniqueName="36" name="Luchtpistool" totalsRowFunction="custom" queryTableFieldId="36" dataDxfId="606" totalsRowDxfId="660">
      <totalsRowFormula>COUNTIF(KDL[Luchtpistool],"x")</totalsRowFormula>
    </tableColumn>
    <tableColumn id="43" xr3:uid="{4354801C-48D7-4389-87A6-9B5DB9CED9FC}" uniqueName="43" name="Aantal luchtpistoolschutters" totalsRowFunction="sum" queryTableFieldId="93" totalsRowDxfId="661"/>
    <tableColumn id="40" xr3:uid="{232916E5-1725-4C06-AE87-F05E98E84376}" uniqueName="40" name="Handboog" totalsRowFunction="custom" queryTableFieldId="40" dataDxfId="605" totalsRowDxfId="662">
      <totalsRowFormula>COUNTIF(KDL[Handboog],"x")</totalsRowFormula>
    </tableColumn>
    <tableColumn id="44" xr3:uid="{E49D6762-67FB-4AD1-8906-865B907216FD}" uniqueName="44" name="Aantal handboogschutters" totalsRowFunction="sum" queryTableFieldId="94" totalsRowDxfId="663"/>
    <tableColumn id="38" xr3:uid="{FF49762E-1EDE-4A60-B2B3-F57682D2F581}" uniqueName="38" name="Kruisboog" totalsRowFunction="custom" queryTableFieldId="38" dataDxfId="604" totalsRowDxfId="664">
      <totalsRowFormula>COUNTIF(KDL[Kruisboog],"x")</totalsRowFormula>
    </tableColumn>
    <tableColumn id="71" xr3:uid="{B6F67F3D-41FE-4C39-A0D0-5AC402847995}" uniqueName="71" name="Aantal kruisboogschutters" totalsRowFunction="sum" queryTableFieldId="95" totalsRowDxfId="665"/>
    <tableColumn id="72" xr3:uid="{71B82EDC-AC07-47BC-80F1-572A42A9EA7D}" uniqueName="72" name="Luchtgeweer jeugd niet ouder dan 17 jaar." totalsRowFunction="custom" queryTableFieldId="96" dataDxfId="849" totalsRowDxfId="666">
      <totalsRowFormula>COUNTIF(KDL[Luchtgeweer jeugd niet ouder dan 17 jaar.],"x")</totalsRowFormula>
    </tableColumn>
    <tableColumn id="73" xr3:uid="{7A6FDD62-7623-47AC-BE61-54C9DD155FCD}" uniqueName="73" name="Aantal korpsen" totalsRowFunction="sum" queryTableFieldId="97" totalsRowDxfId="667"/>
    <tableColumn id="74" xr3:uid="{79906B44-290E-4BFF-8446-6F2A14243E37}" uniqueName="74" name="Opgegeven jeugdkorpsen LG" totalsRowFunction="sum" queryTableFieldId="98" totalsRowDxfId="668"/>
    <tableColumn id="45" xr3:uid="{6FE91AB4-F0BF-4229-863C-5C3B0B0C150F}" uniqueName="45" name="Totaal aantal deelnemers" totalsRowFunction="sum" queryTableFieldId="45" dataDxfId="603" totalsRowDxfId="669"/>
    <tableColumn id="46" xr3:uid="{3F920BB7-39BB-472A-9E05-9D16E946E754}" uniqueName="46" name="Waarvan aantal jeugd (t/m 15 jaar)" totalsRowFunction="sum" queryTableFieldId="46" dataDxfId="602" totalsRowDxfId="670"/>
    <tableColumn id="47" xr3:uid="{5F6639A2-1A58-4EE2-8A88-7CE4C28DE14E}" uniqueName="47" name="Kanon etc." totalsRowFunction="custom" queryTableFieldId="47" dataDxfId="601" totalsRowDxfId="671">
      <totalsRowFormula>COUNTIF(KDL[Kanon etc.],"x")</totalsRowFormula>
    </tableColumn>
    <tableColumn id="48" xr3:uid="{75E9B5DB-26ED-4455-8D06-5EBB0489B6E5}" uniqueName="48" name="Paarden en/of koetsen" totalsRowFunction="custom" queryTableFieldId="48" dataDxfId="600" totalsRowDxfId="672">
      <totalsRowFormula>COUNTIF(KDL[Paarden en/of koetsen],"x")</totalsRowFormula>
    </tableColumn>
    <tableColumn id="49" xr3:uid="{A2F351EF-BF6A-4EF2-B20F-ACD1F3D421D5}" uniqueName="49" name="Toelichting/opmerkingen" queryTableFieldId="49" dataDxfId="599" totalsRowDxfId="673"/>
    <tableColumn id="50" xr3:uid="{8E6E3B2B-A3E8-463D-9C6C-E7EB38640090}" uniqueName="50" name="Inzending-ID" queryTableFieldId="50" dataDxfId="848" totalsRowDxfId="674"/>
    <tableColumn id="51" xr3:uid="{7C7C4003-91EC-471F-86E1-E7F95D4AF041}" uniqueName="51" name="Inzenddatum" queryTableFieldId="51" dataDxfId="598" totalsRowDxfId="675"/>
    <tableColumn id="75" xr3:uid="{74353F0E-ABA6-4C8C-8036-8E81B5968782}" uniqueName="75" name="Date Updated" queryTableFieldId="99" dataDxfId="597" totalsRowDxfId="676"/>
    <tableColumn id="52" xr3:uid="{571854C2-F9B4-4AC2-B42B-5B307450030A}" uniqueName="52" name="Naam van het hoofdkorps" queryTableFieldId="52" totalsRowDxfId="677"/>
    <tableColumn id="53" xr3:uid="{98BDBCEE-4546-409E-9965-16FBFF631FDD}" uniqueName="53" name="Zal op treden als (hoofdkorps)" queryTableFieldId="53" totalsRowDxfId="678"/>
    <tableColumn id="54" xr3:uid="{6DAD7732-30CB-40CD-BC61-9F4E1AE160E4}" uniqueName="54" name="Vorm van twee muziekwerken (hoofdkorps)" queryTableFieldId="54" totalsRowDxfId="679"/>
    <tableColumn id="55" xr3:uid="{64F6BB10-27FA-451D-957A-3CF7BB6B07E3}" uniqueName="55" name="Zal uitkomen in de: (hoofdkorps)" queryTableFieldId="55" totalsRowDxfId="680"/>
    <tableColumn id="56" xr3:uid="{1667CE51-ED48-444B-A5E4-5F1FF62BAAB5}" uniqueName="56" name="Muziekwerk1 (hoofdkorps)" queryTableFieldId="56" totalsRowDxfId="681"/>
    <tableColumn id="57" xr3:uid="{F0C01F3E-6748-4F03-A3F5-EAD5689C0D7E}" uniqueName="57" name="Muziekwerk2 (hoofdkorps)" queryTableFieldId="57" totalsRowDxfId="682"/>
    <tableColumn id="58" xr3:uid="{109CA614-CF3C-4518-B10C-FB3A5F35C8AD}" uniqueName="58" name="Korps bestaat uit ... deelnemers (hoofdkorps)" queryTableFieldId="58" dataDxfId="847" totalsRowDxfId="683"/>
    <tableColumn id="59" xr3:uid="{EBB1025D-9F16-4477-A93E-585F35700005}" uniqueName="59" name="Naam van het 2e korps" queryTableFieldId="59" totalsRowDxfId="684"/>
    <tableColumn id="60" xr3:uid="{0D55EFB6-EB3C-48F1-BC90-A91C74796335}" uniqueName="60" name="Zal op treden als (2e korps)" queryTableFieldId="60" totalsRowDxfId="685"/>
    <tableColumn id="61" xr3:uid="{065270A4-DBC9-4E3A-A7C3-E96A4989AF08}" uniqueName="61" name="Vorm van twee muziekwerken (2e korps)" queryTableFieldId="61" totalsRowDxfId="686"/>
    <tableColumn id="62" xr3:uid="{03937D12-4562-4E96-9188-B44366F2059B}" uniqueName="62" name="Zal uitkomen in de: (2e korps)" queryTableFieldId="62" totalsRowDxfId="687"/>
    <tableColumn id="63" xr3:uid="{B96BCE7B-0A0F-4096-94A7-1727983FCF81}" uniqueName="63" name="Muziekwerk1 (2e korps)" queryTableFieldId="63" totalsRowDxfId="688"/>
    <tableColumn id="64" xr3:uid="{A699F2C8-7164-4116-821E-E1F7ECBB16CF}" uniqueName="64" name="Muziekwerk2 (2e korps)" queryTableFieldId="64" dataDxfId="596" totalsRowDxfId="689"/>
    <tableColumn id="65" xr3:uid="{14F077BD-BA28-4657-A9D6-903661E69000}" uniqueName="65" name="Korps bestaat uit ... deelnemers (2e korps)" queryTableFieldId="65" totalsRowDxfId="690"/>
    <tableColumn id="69" xr3:uid="{7D5E67A8-F62C-41DA-9BDF-AF828627EB01}" uniqueName="69" name="Mechanische muziek" queryTableFieldId="69" dataDxfId="595" totalsRowDxfId="691"/>
    <tableColumn id="66" xr3:uid="{6CE245F9-18FA-40DF-94FF-BC235CEB698A}" uniqueName="66" name="Onderdelen" queryTableFieldId="66" dataDxfId="594" totalsRowDxfId="692"/>
    <tableColumn id="67" xr3:uid="{FA63884A-B82F-4383-8AC3-1D99260FC1BA}" uniqueName="67" name="Secties" queryTableFieldId="67" dataDxfId="593" totalsRowDxfId="693"/>
    <tableColumn id="68" xr3:uid="{7B6A9F6F-BB58-42BA-91AE-B6DA6ABC2578}" uniqueName="68" name="Leeftijdscategorie" queryTableFieldId="68" dataDxfId="592" totalsRowDxfId="694"/>
    <tableColumn id="70" xr3:uid="{5BE6C664-B0D1-466F-92E1-918FBA88A5E0}" uniqueName="70" name="Aantal opgegeven majorettes" totalsRowFunction="sum" queryTableFieldId="70" totalsRowDxfId="695"/>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33CA51-300D-4E19-87BD-CE9A932A5F64}" name="KDA" displayName="KDA" ref="A6:BW19" tableType="queryTable" totalsRowCount="1" headerRowDxfId="846" dataDxfId="845" totalsRowDxfId="844">
  <autoFilter ref="A6:BW18" xr:uid="{1533CA51-300D-4E19-87BD-CE9A932A5F64}"/>
  <tableColumns count="75">
    <tableColumn id="1" xr3:uid="{F93438CA-5BC1-40B0-AC53-A5A974368AF7}" uniqueName="1" name="Kringdag" totalsRowLabel="Totaal" queryTableFieldId="1" dataDxfId="438"/>
    <tableColumn id="2" xr3:uid="{11BCB282-4F36-4774-AA5B-AA23FFE13890}" uniqueName="2" name="Ver.nr" queryTableFieldId="2" dataDxfId="437"/>
    <tableColumn id="3" xr3:uid="{F2EA5EB1-97BC-48C0-A4CC-D5A0A1764FF3}" uniqueName="3" name="Naam vereniging" totalsRowFunction="count" queryTableFieldId="3"/>
    <tableColumn id="4" xr3:uid="{B8495924-00E2-444B-89A8-BD52A8328D25}" uniqueName="4" name="Delegatie" totalsRowFunction="custom" queryTableFieldId="4" dataDxfId="436" totalsRowDxfId="439">
      <totalsRowFormula>COUNTIF(KDA[Delegatie],"x")</totalsRowFormula>
    </tableColumn>
    <tableColumn id="5" xr3:uid="{E06FC56F-DD67-466F-93BC-7471DD416A1A}" uniqueName="5" name="Muziekkorps bij mars en defilé" totalsRowFunction="custom" queryTableFieldId="5" dataDxfId="435" totalsRowDxfId="440">
      <totalsRowFormula>COUNTIF(KDA[Muziekkorps bij mars en defilé],"x")</totalsRowFormula>
    </tableColumn>
    <tableColumn id="6" xr3:uid="{B2C1A0BA-64B2-4B29-A89F-F4361D7EDDA2}" uniqueName="6" name="Deeln. jeugdkoningschieten" totalsRowFunction="custom" queryTableFieldId="6" dataDxfId="434" totalsRowDxfId="441">
      <totalsRowFormula>COUNTIF(KDA[Deeln. jeugdkoningschieten],"x")</totalsRowFormula>
    </tableColumn>
    <tableColumn id="7" xr3:uid="{DD3AFF5E-1BCA-48EA-9B7A-BF4825D60A07}" uniqueName="7" name="Maj. Senioren jureren bij mars" totalsRowFunction="custom" queryTableFieldId="7" dataDxfId="433" totalsRowDxfId="442">
      <totalsRowFormula>COUNTIF(KDA[Maj. Senioren jureren bij mars],"x")</totalsRowFormula>
    </tableColumn>
    <tableColumn id="8" xr3:uid="{AC812AEA-FD1F-434D-93D9-F04B994734F3}" uniqueName="8" name="Maj. Jeugd jureren bij mars" totalsRowFunction="custom" queryTableFieldId="8" dataDxfId="432" totalsRowDxfId="443">
      <totalsRowFormula>COUNTIF(KDA[Maj. Jeugd jureren bij mars],"x")</totalsRowFormula>
    </tableColumn>
    <tableColumn id="9" xr3:uid="{103082B0-6247-47F4-808D-327BE9CB1B80}" uniqueName="9" name="Korps senioren" totalsRowFunction="count" queryTableFieldId="9" dataDxfId="431" totalsRowDxfId="444"/>
    <tableColumn id="10" xr3:uid="{D74E8F12-96A3-424F-A6C2-D1D436652E47}" uniqueName="10" name="Junioren korps 1" totalsRowFunction="count" queryTableFieldId="112" totalsRowDxfId="445"/>
    <tableColumn id="11" xr3:uid="{6BA5C00F-7B52-490C-8F8A-10903D727ED5}" uniqueName="11" name="Junioren korps 2" totalsRowFunction="count" queryTableFieldId="113" totalsRowDxfId="446"/>
    <tableColumn id="26" xr3:uid="{22819178-6A63-482A-9494-31DC8CECDA5A}" uniqueName="26" name="Aspiranten korps 1" totalsRowFunction="count" queryTableFieldId="114" dataDxfId="430" totalsRowDxfId="447"/>
    <tableColumn id="30" xr3:uid="{7B9B50E1-7D1D-495E-B261-7AB482B0DD39}" uniqueName="30" name="Aspiranten korps 2" totalsRowFunction="count" queryTableFieldId="115" totalsRowDxfId="448"/>
    <tableColumn id="12" xr3:uid="{E66D5DFB-32B6-42AC-B4D5-E30137B204C2}" uniqueName="12" name="Acrobatisch senioren" totalsRowFunction="count" queryTableFieldId="12" dataDxfId="429" totalsRowDxfId="449"/>
    <tableColumn id="13" xr3:uid="{F1F58774-FA3B-4D0D-93AB-C2468779E24B}" uniqueName="13" name="Acrobatisch junioren" totalsRowFunction="count" queryTableFieldId="13" dataDxfId="428" totalsRowDxfId="450"/>
    <tableColumn id="14" xr3:uid="{0ADA7D06-C504-4FDF-9B22-532627DA442D}" uniqueName="14" name="Acrobatisch aspiranten" totalsRowFunction="count" queryTableFieldId="14" dataDxfId="427" totalsRowDxfId="451"/>
    <tableColumn id="15" xr3:uid="{003A0629-A841-482D-9497-FD928CA63AC3}" uniqueName="15" name="Show senioren" queryTableFieldId="15" dataDxfId="426" totalsRowDxfId="452"/>
    <tableColumn id="16" xr3:uid="{A07346AE-9183-4CAB-8290-6FB260E88BDA}" uniqueName="16" name="Show junioren" queryTableFieldId="16" dataDxfId="425" totalsRowDxfId="453"/>
    <tableColumn id="17" xr3:uid="{42782677-0BC4-4B59-83D0-AAD146CED9A7}" uniqueName="17" name="Show aspiranten" queryTableFieldId="17" dataDxfId="424" totalsRowDxfId="454"/>
    <tableColumn id="18" xr3:uid="{993FA367-ECDB-4796-BBF5-2C8A80786752}" uniqueName="18" name="Senioren indiv." totalsRowFunction="sum" queryTableFieldId="18" totalsRowDxfId="455"/>
    <tableColumn id="19" xr3:uid="{E4B93A7E-C99D-404B-958A-53AC9915538B}" uniqueName="19" name="Junioren indiv." totalsRowFunction="sum" queryTableFieldId="19" totalsRowDxfId="456"/>
    <tableColumn id="20" xr3:uid="{9CBBE6CF-215E-41EA-B4B8-01218CA064F0}" uniqueName="20" name="Aspiranten indiv." totalsRowFunction="sum" queryTableFieldId="20" totalsRowDxfId="457"/>
    <tableColumn id="21" xr3:uid="{48A9223C-9738-4246-9658-2291CBBF5BDB}" uniqueName="21" name="Sen. ind opgegeven namen" totalsRowFunction="sum" queryTableFieldId="21" totalsRowDxfId="458"/>
    <tableColumn id="22" xr3:uid="{A363B7BF-C1DB-409E-BE12-FF3A85F26564}" uniqueName="22" name="Jun. ind opgegeven namen" totalsRowFunction="sum" queryTableFieldId="22" totalsRowDxfId="459"/>
    <tableColumn id="23" xr3:uid="{7190C7B5-C1FE-47B2-B536-10BD609396FA}" uniqueName="23" name="Asp. ind opgegeven namen" totalsRowFunction="sum" queryTableFieldId="23" totalsRowDxfId="460"/>
    <tableColumn id="24" xr3:uid="{33B74F72-409E-46A1-9666-8832CDB341F9}" uniqueName="24" name="Hoofdkorps" totalsRowFunction="custom" queryTableFieldId="24" dataDxfId="423" totalsRowDxfId="461">
      <totalsRowFormula>COUNTIF(KDA[Hoofdkorps],"x")</totalsRowFormula>
    </tableColumn>
    <tableColumn id="25" xr3:uid="{E75BA82A-4EC4-43EC-8CDA-F4B633611053}" uniqueName="25" name="2e korps" totalsRowFunction="custom" queryTableFieldId="25" dataDxfId="422" totalsRowDxfId="462">
      <totalsRowFormula>COUNTIF(KDA[2e korps],"x")</totalsRowFormula>
    </tableColumn>
    <tableColumn id="31" xr3:uid="{8C17FF84-91ED-4367-96B0-D5E9C2E308AA}" uniqueName="31" name="Groepen, teams, ensembles en duo's" totalsRowFunction="sum" queryTableFieldId="80" totalsRowDxfId="463"/>
    <tableColumn id="27" xr3:uid="{78F4C8EC-321C-48CA-A6EA-B4EF44603AD1}" uniqueName="27" name="Senioren" totalsRowFunction="sum" queryTableFieldId="27" totalsRowDxfId="464"/>
    <tableColumn id="32" xr3:uid="{A8E6E228-1CC8-4B2E-B7B8-71C2D810E97D}" uniqueName="32" name="Jong volwassene" totalsRowFunction="sum" queryTableFieldId="81" totalsRowDxfId="465"/>
    <tableColumn id="28" xr3:uid="{013C1948-F539-46B8-97DF-5FC55797320E}" uniqueName="28" name="Junioren" totalsRowFunction="sum" queryTableFieldId="28" totalsRowDxfId="466"/>
    <tableColumn id="29" xr3:uid="{392E162D-5ED4-47A0-A7C3-2155E0008E03}" uniqueName="29" name="Aspiranten" totalsRowFunction="sum" queryTableFieldId="29" totalsRowDxfId="467"/>
    <tableColumn id="35" xr3:uid="{52752A42-08CC-444F-8FCC-27D3B8816379}" uniqueName="35" name="Opgegeven senioren" totalsRowFunction="sum" queryTableFieldId="82" totalsRowDxfId="468"/>
    <tableColumn id="37" xr3:uid="{EBB72690-7293-4B9A-B81C-EBB1608151E4}" uniqueName="37" name="Opgegeven jong volwassene" totalsRowFunction="sum" queryTableFieldId="83" totalsRowDxfId="469"/>
    <tableColumn id="39" xr3:uid="{0C66655B-B78F-4DF0-BB19-1A806276B528}" uniqueName="39" name="Opgegeven junioren" totalsRowFunction="sum" queryTableFieldId="84" totalsRowDxfId="470"/>
    <tableColumn id="41" xr3:uid="{D31EB490-0AA2-42BC-8FB7-5990C483CB48}" uniqueName="41" name="Opgegeven aspiranten" totalsRowFunction="sum" queryTableFieldId="85" totalsRowDxfId="471"/>
    <tableColumn id="33" xr3:uid="{55AAE09E-E997-495C-959A-F5351ED1E7B7}" uniqueName="33" name="Marketentsters" totalsRowFunction="custom" queryTableFieldId="33" dataDxfId="421" totalsRowDxfId="472">
      <totalsRowFormula>COUNTIF(KDA[Marketentsters],"x")</totalsRowFormula>
    </tableColumn>
    <tableColumn id="34" xr3:uid="{E6741020-7ED5-49D6-B406-51CEE8B8DD68}" uniqueName="34" name="Luchtgeweer" totalsRowFunction="custom" queryTableFieldId="34" dataDxfId="420" totalsRowDxfId="473">
      <totalsRowFormula>COUNTIF(KDA[Luchtgeweer],"x")</totalsRowFormula>
    </tableColumn>
    <tableColumn id="42" xr3:uid="{5A549990-ED18-4F73-A6C8-4E658A409420}" uniqueName="42" name="Aantal luchtgeweerschutters" totalsRowFunction="sum" queryTableFieldId="86" dataDxfId="419"/>
    <tableColumn id="36" xr3:uid="{EAC31335-978D-41AD-B136-0983A961D6E2}" uniqueName="36" name="Luchtpistool" totalsRowFunction="custom" queryTableFieldId="36" dataDxfId="418" totalsRowDxfId="474">
      <totalsRowFormula>COUNTIF(KDA[Luchtpistool],"x")</totalsRowFormula>
    </tableColumn>
    <tableColumn id="43" xr3:uid="{D31A5E4D-5471-4911-B227-561D3D36C71B}" uniqueName="43" name="Aantal luchtpistoolschutters" totalsRowFunction="sum" queryTableFieldId="87" totalsRowDxfId="475"/>
    <tableColumn id="40" xr3:uid="{AAFBD778-4704-439C-8204-5F5A02A8B3A8}" uniqueName="40" name="Handboog" totalsRowFunction="custom" queryTableFieldId="40" dataDxfId="417" totalsRowDxfId="476">
      <totalsRowFormula>COUNTIF(KDA[Handboog],"x")</totalsRowFormula>
    </tableColumn>
    <tableColumn id="44" xr3:uid="{32C15FFD-49E8-4D70-870E-65ED8286FDFA}" uniqueName="44" name="Aantal handboogschutters" totalsRowFunction="sum" queryTableFieldId="88" dataDxfId="416"/>
    <tableColumn id="38" xr3:uid="{537D7FC0-ADEB-4D95-B5AA-67860B0C8D31}" uniqueName="38" name="Kruisboog" totalsRowFunction="custom" queryTableFieldId="38" dataDxfId="415" totalsRowDxfId="477">
      <totalsRowFormula>COUNTIF(KDA[Kruisboog],"x")</totalsRowFormula>
    </tableColumn>
    <tableColumn id="71" xr3:uid="{E8DBE28A-D63A-4627-9B78-87475022C1F7}" uniqueName="71" name="Aantal kruisboogschutters" totalsRowFunction="sum" queryTableFieldId="89" totalsRowDxfId="478"/>
    <tableColumn id="72" xr3:uid="{F44B5FDC-1CAE-43A1-BB30-C5D81EC88DE8}" uniqueName="72" name="Luchtgeweer jeugd niet ouder dan 17 jaar." totalsRowFunction="custom" queryTableFieldId="90" dataDxfId="414" totalsRowDxfId="479">
      <totalsRowFormula>COUNTIF(KDA[Luchtgeweer jeugd niet ouder dan 17 jaar.],"x")</totalsRowFormula>
    </tableColumn>
    <tableColumn id="73" xr3:uid="{B4EBB654-5962-4156-BEAE-3952F17CC8B9}" uniqueName="73" name="Aantal korpsen" totalsRowFunction="sum" queryTableFieldId="91" dataDxfId="413" totalsRowDxfId="480"/>
    <tableColumn id="74" xr3:uid="{CAA768B5-90B5-4D9E-81AB-2321BC33E35A}" uniqueName="74" name="Opgegeven jeugdkorpsen LG" totalsRowFunction="sum" queryTableFieldId="92" dataDxfId="412" totalsRowDxfId="481"/>
    <tableColumn id="45" xr3:uid="{2F277C4A-7C12-42C0-BA72-175A58161C7B}" uniqueName="45" name="Totaal aantal deelnemers" totalsRowFunction="sum" queryTableFieldId="45" dataDxfId="411" totalsRowDxfId="482"/>
    <tableColumn id="46" xr3:uid="{06097E5F-1324-42A7-90B9-AB1E8A3AE557}" uniqueName="46" name="Waarvan aantal jeugd (t/m 15 jaar)" totalsRowFunction="sum" queryTableFieldId="46" dataDxfId="410" totalsRowDxfId="483"/>
    <tableColumn id="47" xr3:uid="{6AF72223-27EE-4CFA-9C64-F4B94F3FFE6D}" uniqueName="47" name="Kanon etc." totalsRowFunction="custom" queryTableFieldId="47" totalsRowDxfId="484">
      <totalsRowFormula>COUNTIF(KDA[Kanon etc.],"x")</totalsRowFormula>
    </tableColumn>
    <tableColumn id="48" xr3:uid="{FFED3A78-6BF7-45D9-8E3A-3517FCD679B2}" uniqueName="48" name="Paarden en/of koetsen" totalsRowFunction="custom" queryTableFieldId="48" totalsRowDxfId="485">
      <totalsRowFormula>COUNTIF(KDA[Paarden en/of koetsen],"x")</totalsRowFormula>
    </tableColumn>
    <tableColumn id="49" xr3:uid="{FFCB43B4-8315-475A-BBDA-92F96CBE0CD8}" uniqueName="49" name="Toelichting/opmerkingen" queryTableFieldId="49" dataDxfId="409" totalsRowDxfId="486"/>
    <tableColumn id="50" xr3:uid="{AC191752-224D-4115-A7BE-53E55432DC01}" uniqueName="50" name="Inzending-ID" queryTableFieldId="50" dataDxfId="408" totalsRowDxfId="487"/>
    <tableColumn id="51" xr3:uid="{61C71225-CE38-47AC-831C-29EAF9AE3EEF}" uniqueName="51" name="Inzenddatum" queryTableFieldId="51" dataDxfId="407" totalsRowDxfId="488"/>
    <tableColumn id="75" xr3:uid="{DF5485A7-BC31-4665-A9CD-69FEC0D3A0B6}" uniqueName="75" name="Date Updated" queryTableFieldId="93" dataDxfId="406" totalsRowDxfId="489"/>
    <tableColumn id="52" xr3:uid="{E5C749FC-4350-4DB1-AC14-61DCC8E3341A}" uniqueName="52" name="Naam van het hoofdkorps" queryTableFieldId="52" totalsRowDxfId="490"/>
    <tableColumn id="53" xr3:uid="{2210D00F-2519-4A0D-98B7-308F2AB1CA8D}" uniqueName="53" name="Zal op treden als (hoofdkorps)" queryTableFieldId="53" totalsRowDxfId="491"/>
    <tableColumn id="54" xr3:uid="{1F48BFE0-9CF5-49D7-B56B-84669B0D9436}" uniqueName="54" name="Vorm van twee muziekwerken (hoofdkorps)" queryTableFieldId="54" totalsRowDxfId="492"/>
    <tableColumn id="55" xr3:uid="{8F835307-A4DB-4825-B075-B613CBD852FA}" uniqueName="55" name="Zal uitkomen in de: (hoofdkorps)" queryTableFieldId="55" totalsRowDxfId="493"/>
    <tableColumn id="56" xr3:uid="{CA6ECD62-1A79-4686-9FBA-442FFFA474CC}" uniqueName="56" name="Muziekwerk1 (hoofdkorps)" queryTableFieldId="56" totalsRowDxfId="494"/>
    <tableColumn id="57" xr3:uid="{2980ED93-7393-4FD4-B05B-3124BFDD07A6}" uniqueName="57" name="Muziekwerk2 (hoofdkorps)" queryTableFieldId="57" totalsRowDxfId="495"/>
    <tableColumn id="58" xr3:uid="{1067520B-6F08-4692-8C03-EFACEEE9E679}" uniqueName="58" name="Korps bestaat uit ... deelnemers (hoofdkorps)" queryTableFieldId="58" dataDxfId="405" totalsRowDxfId="496"/>
    <tableColumn id="59" xr3:uid="{844D4ACC-4EB1-49D5-A2BF-A492647995F0}" uniqueName="59" name="Naam van het 2e korps" queryTableFieldId="59" totalsRowDxfId="497"/>
    <tableColumn id="60" xr3:uid="{B4C4C3CB-7EC3-4F60-A3B4-688D7786AA3C}" uniqueName="60" name="Zal op treden als (2e korps)" queryTableFieldId="60" totalsRowDxfId="498"/>
    <tableColumn id="61" xr3:uid="{AC1F0C8C-2274-4694-95F2-56D38F5823DF}" uniqueName="61" name="Vorm van twee muziekwerken (2e korps)" queryTableFieldId="61" totalsRowDxfId="499"/>
    <tableColumn id="62" xr3:uid="{B3251CE6-E945-4363-B0B0-8CFB87E14B04}" uniqueName="62" name="Zal uitkomen in de: (2e korps)" queryTableFieldId="62" totalsRowDxfId="500"/>
    <tableColumn id="63" xr3:uid="{82F79EC1-BABD-4651-95B5-EC56E3D7F27D}" uniqueName="63" name="Muziekwerk1 (2e korps)" queryTableFieldId="63" totalsRowDxfId="501"/>
    <tableColumn id="64" xr3:uid="{3115842D-1211-4573-A071-481B1AD5D1B5}" uniqueName="64" name="Muziekwerk2 (2e korps)" queryTableFieldId="64" dataDxfId="404" totalsRowDxfId="502"/>
    <tableColumn id="65" xr3:uid="{31512E68-61BE-4B4E-9739-D7EDFE57C6D9}" uniqueName="65" name="Korps bestaat uit ... deelnemers (2e korps)" queryTableFieldId="65" totalsRowDxfId="503"/>
    <tableColumn id="69" xr3:uid="{F621A4FD-C2AC-43F2-B8C7-A1C49692F415}" uniqueName="69" name="Mechanische muziek" queryTableFieldId="69" dataDxfId="403" totalsRowDxfId="504"/>
    <tableColumn id="66" xr3:uid="{312CDF19-2DCB-490A-8052-DD9F42AFB7DD}" uniqueName="66" name="Onderdelen" queryTableFieldId="66" dataDxfId="402" totalsRowDxfId="505"/>
    <tableColumn id="67" xr3:uid="{20A6A111-B6B9-4A3C-949D-2D5F3F2463CC}" uniqueName="67" name="Secties" queryTableFieldId="67" dataDxfId="401" totalsRowDxfId="506"/>
    <tableColumn id="68" xr3:uid="{AAE06610-1276-4DD6-9CAD-863DA3C40779}" uniqueName="68" name="Leeftijdscategorie" queryTableFieldId="68" dataDxfId="400" totalsRowDxfId="507"/>
    <tableColumn id="70" xr3:uid="{34BF71AC-4951-4715-BE87-90E791389154}" uniqueName="70" name="Aantal opgegeven majorettes" totalsRowFunction="sum" queryTableFieldId="70" totalsRowDxfId="508"/>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5DD99D-2F07-4FE5-B31E-FFC68007A593}" name="KDRvNB" displayName="KDRvNB" ref="A6:BW13" tableType="queryTable" totalsRowCount="1" headerRowDxfId="843" dataDxfId="842" totalsRowDxfId="841">
  <autoFilter ref="A6:BW12" xr:uid="{7B5DD99D-2F07-4FE5-B31E-FFC68007A593}"/>
  <tableColumns count="75">
    <tableColumn id="1" xr3:uid="{B42082E0-74DB-4949-8E35-E9A859804A26}" uniqueName="1" name="Kringdag" totalsRowLabel="Totaal" queryTableFieldId="1" dataDxfId="840"/>
    <tableColumn id="2" xr3:uid="{47866B58-4A45-45DB-8349-C2FBE6042C02}" uniqueName="2" name="Ver.nr" queryTableFieldId="2" dataDxfId="839"/>
    <tableColumn id="3" xr3:uid="{D5B235C5-C286-495E-BCBA-47745390A66E}" uniqueName="3" name="Naam vereniging" totalsRowFunction="count" queryTableFieldId="3" dataDxfId="838"/>
    <tableColumn id="4" xr3:uid="{FC31E2DE-14C2-4E55-85F8-E0109E214D05}" uniqueName="4" name="Delegatie" totalsRowFunction="custom" queryTableFieldId="4" dataDxfId="327" totalsRowDxfId="328">
      <totalsRowFormula>COUNTIF(KDRvNB[Delegatie],"x")</totalsRowFormula>
    </tableColumn>
    <tableColumn id="5" xr3:uid="{743BD746-74B9-4A86-A1CA-CBE9896E6A85}" uniqueName="5" name="Muziekkorps bij mars en defilé" totalsRowFunction="custom" queryTableFieldId="5" dataDxfId="326" totalsRowDxfId="329">
      <totalsRowFormula>COUNTIF(KDRvNB[Muziekkorps bij mars en defilé],"x")</totalsRowFormula>
    </tableColumn>
    <tableColumn id="6" xr3:uid="{D1D3EC3D-8B9F-47A1-9A70-923F51EB8A10}" uniqueName="6" name="Deeln. jeugdkoningschieten" totalsRowFunction="custom" queryTableFieldId="6" dataDxfId="325" totalsRowDxfId="330">
      <totalsRowFormula>COUNTIF(KDRvNB[Deeln. jeugdkoningschieten],"x")</totalsRowFormula>
    </tableColumn>
    <tableColumn id="7" xr3:uid="{39C00582-4386-4EEA-B883-3387D078164A}" uniqueName="7" name="Maj. Senioren jureren bij mars" totalsRowFunction="custom" queryTableFieldId="7" dataDxfId="324" totalsRowDxfId="331">
      <totalsRowFormula>COUNTIF(KDRvNB[Maj. Senioren jureren bij mars],"x")</totalsRowFormula>
    </tableColumn>
    <tableColumn id="8" xr3:uid="{4E9FA65C-BE60-48DA-B279-01D2C843F0E0}" uniqueName="8" name="Maj. Jeugd jureren bij mars" totalsRowFunction="custom" queryTableFieldId="8" dataDxfId="323" totalsRowDxfId="332">
      <totalsRowFormula>COUNTIF(KDRvNB[Maj. Jeugd jureren bij mars],"x")</totalsRowFormula>
    </tableColumn>
    <tableColumn id="9" xr3:uid="{EFA0D6B1-D99C-40A9-86CF-608DA41F1972}" uniqueName="9" name="Korps senioren" totalsRowFunction="count" queryTableFieldId="9" dataDxfId="322" totalsRowDxfId="333"/>
    <tableColumn id="10" xr3:uid="{632564B9-80BF-4EE0-AD7D-B7AD5B403386}" uniqueName="10" name="Junioren korps 1" totalsRowFunction="count" queryTableFieldId="106" totalsRowDxfId="334"/>
    <tableColumn id="11" xr3:uid="{2BBE822F-4082-4C0F-89C6-E3899B434027}" uniqueName="11" name="Junioren korps 2" totalsRowFunction="count" queryTableFieldId="107" totalsRowDxfId="335"/>
    <tableColumn id="26" xr3:uid="{D49E85C0-A527-4F96-8273-342DE4E6468D}" uniqueName="26" name="Aspiranten korps 1" totalsRowFunction="count" queryTableFieldId="108" totalsRowDxfId="336"/>
    <tableColumn id="30" xr3:uid="{D5CC78F7-E3D4-4BA1-8F91-7CAFE6279E9C}" uniqueName="30" name="Aspiranten korps 2" totalsRowFunction="count" queryTableFieldId="109" totalsRowDxfId="337"/>
    <tableColumn id="12" xr3:uid="{70A20D86-F728-446F-9730-5B328A909B16}" uniqueName="12" name="Acrobatisch senioren" totalsRowFunction="count" queryTableFieldId="12" dataDxfId="321" totalsRowDxfId="338"/>
    <tableColumn id="13" xr3:uid="{9E02CCEF-987E-4D1E-9F70-0FFFD16E0DCB}" uniqueName="13" name="Acrobatisch junioren" totalsRowFunction="count" queryTableFieldId="13" dataDxfId="320" totalsRowDxfId="339"/>
    <tableColumn id="14" xr3:uid="{3AFD9C15-E86E-4AD5-AFA3-9A2B7390A6E8}" uniqueName="14" name="Acrobatisch aspiranten" totalsRowFunction="count" queryTableFieldId="14" dataDxfId="319" totalsRowDxfId="340"/>
    <tableColumn id="15" xr3:uid="{4595B28A-98C1-4523-85BD-3DDE65724380}" uniqueName="15" name="Show senioren" queryTableFieldId="15" dataDxfId="318" totalsRowDxfId="341"/>
    <tableColumn id="16" xr3:uid="{36C89C09-7EDA-4C43-BFA9-CC5F23DF32C2}" uniqueName="16" name="Show junioren" queryTableFieldId="16" dataDxfId="317" totalsRowDxfId="342"/>
    <tableColumn id="17" xr3:uid="{668F2608-E64B-4D23-A53B-B397B1D7F441}" uniqueName="17" name="Show aspiranten" queryTableFieldId="17" dataDxfId="316" totalsRowDxfId="343"/>
    <tableColumn id="18" xr3:uid="{D48B7191-F089-4D06-99A0-3C94801AA07D}" uniqueName="18" name="Senioren indiv." totalsRowFunction="sum" queryTableFieldId="18" dataDxfId="315" totalsRowDxfId="344"/>
    <tableColumn id="19" xr3:uid="{0EE4F30B-5A5D-4059-8E0A-9547572CE7CD}" uniqueName="19" name="Junioren indiv." totalsRowFunction="sum" queryTableFieldId="19" dataDxfId="314" totalsRowDxfId="345"/>
    <tableColumn id="20" xr3:uid="{FDF7EED4-C61B-4E58-9C3D-5F64668F3F1D}" uniqueName="20" name="Aspiranten indiv." totalsRowFunction="sum" queryTableFieldId="20" dataDxfId="313" totalsRowDxfId="346"/>
    <tableColumn id="21" xr3:uid="{C1F53052-FEDA-4814-A308-72F09F640DEB}" uniqueName="21" name="Sen. ind opgegeven namen" totalsRowFunction="sum" queryTableFieldId="21" dataDxfId="312" totalsRowDxfId="347"/>
    <tableColumn id="22" xr3:uid="{1C6D3A34-19A1-467C-BCCD-7E68ED3883A1}" uniqueName="22" name="Jun. ind opgegeven namen" totalsRowFunction="sum" queryTableFieldId="22" dataDxfId="311" totalsRowDxfId="348"/>
    <tableColumn id="23" xr3:uid="{67353617-011D-4F5D-9E7D-02927430BFEF}" uniqueName="23" name="Asp. ind opgegeven namen" totalsRowFunction="sum" queryTableFieldId="23" dataDxfId="310" totalsRowDxfId="349"/>
    <tableColumn id="24" xr3:uid="{DE9B8CB3-FDA8-419B-96F4-B781AB5D0FA0}" uniqueName="24" name="Hoofdkorps" totalsRowFunction="custom" queryTableFieldId="24" dataDxfId="309" totalsRowDxfId="350">
      <totalsRowFormula>COUNTIF(KDRvNB[Hoofdkorps],"x")</totalsRowFormula>
    </tableColumn>
    <tableColumn id="25" xr3:uid="{4F05E2A0-4138-4D1F-AE2C-2A654429F3D6}" uniqueName="25" name="2e korps" totalsRowFunction="custom" queryTableFieldId="25" dataDxfId="308" totalsRowDxfId="351">
      <totalsRowFormula>COUNTIF(KDRvNB[2e korps],"x")</totalsRowFormula>
    </tableColumn>
    <tableColumn id="31" xr3:uid="{73BAC8BE-23F3-4460-B518-ADAFDEB40510}" uniqueName="31" name="Groepen, teams, ensembles en duo's" totalsRowFunction="sum" queryTableFieldId="74" totalsRowDxfId="352"/>
    <tableColumn id="27" xr3:uid="{82F0E3A4-A915-4065-9F2F-7E6CB47AC3D0}" uniqueName="27" name="Senioren" totalsRowFunction="sum" queryTableFieldId="27" dataDxfId="307" totalsRowDxfId="353"/>
    <tableColumn id="32" xr3:uid="{CF885C7D-918D-4FFB-8613-DC71A36CDBE4}" uniqueName="32" name="Jong volwassene" totalsRowFunction="sum" queryTableFieldId="75" totalsRowDxfId="354"/>
    <tableColumn id="28" xr3:uid="{E85FE71A-C8E3-445C-95F4-06AF9F082A44}" uniqueName="28" name="Junioren" totalsRowFunction="sum" queryTableFieldId="28" dataDxfId="306" totalsRowDxfId="355"/>
    <tableColumn id="29" xr3:uid="{011E5AFC-E767-45D2-BF94-FB0AA9C85AEF}" uniqueName="29" name="Aspiranten" totalsRowFunction="sum" queryTableFieldId="29" dataDxfId="305" totalsRowDxfId="356"/>
    <tableColumn id="35" xr3:uid="{EBB3E55A-D245-437B-9F2B-25F854C76501}" uniqueName="35" name="Opgegeven senioren" totalsRowFunction="sum" queryTableFieldId="76" totalsRowDxfId="357"/>
    <tableColumn id="37" xr3:uid="{E48CD7BD-E051-4F1E-BBE0-802DBA7F8785}" uniqueName="37" name="Opgegeven jong volwassene" totalsRowFunction="sum" queryTableFieldId="77" totalsRowDxfId="358"/>
    <tableColumn id="39" xr3:uid="{1062A42E-CB1E-4CFB-8272-1F3792CD71CA}" uniqueName="39" name="Opgegeven junioren" totalsRowFunction="sum" queryTableFieldId="78" totalsRowDxfId="359"/>
    <tableColumn id="41" xr3:uid="{A7B59E37-143B-4411-88DF-F242A9A06746}" uniqueName="41" name="Opgegeven aspiranten" totalsRowFunction="sum" queryTableFieldId="79" totalsRowDxfId="360"/>
    <tableColumn id="33" xr3:uid="{70B20891-379D-42C9-8759-929B7C801C07}" uniqueName="33" name="Marketentsters" totalsRowFunction="custom" queryTableFieldId="33" dataDxfId="304" totalsRowDxfId="361">
      <totalsRowFormula>COUNTIF(KDRvNB[Marketentsters],"x")</totalsRowFormula>
    </tableColumn>
    <tableColumn id="34" xr3:uid="{FBDAAC23-CCC3-4EC0-BB16-0B31264633F4}" uniqueName="34" name="Luchtgeweer" totalsRowFunction="custom" queryTableFieldId="34" dataDxfId="303" totalsRowDxfId="362">
      <totalsRowFormula>COUNTIF(KDRvNB[Luchtgeweer],"x")</totalsRowFormula>
    </tableColumn>
    <tableColumn id="42" xr3:uid="{24F13D70-9263-4DDF-A235-FD6B8B26266A}" uniqueName="42" name="Aantal luchtgeweerschutters" totalsRowFunction="sum" queryTableFieldId="80" totalsRowDxfId="363"/>
    <tableColumn id="36" xr3:uid="{6CBF3609-5010-4E2C-AC4F-07BFAC337B4F}" uniqueName="36" name="Luchtpistool" totalsRowFunction="custom" queryTableFieldId="36" dataDxfId="302" totalsRowDxfId="364">
      <totalsRowFormula>COUNTIF(KDRvNB[Luchtpistool],"x")</totalsRowFormula>
    </tableColumn>
    <tableColumn id="43" xr3:uid="{C393A973-FD8D-4A10-982E-E97F1A805E28}" uniqueName="43" name="Aantal luchtpistoolschutters" totalsRowFunction="sum" queryTableFieldId="81" totalsRowDxfId="365"/>
    <tableColumn id="40" xr3:uid="{670B83B2-B798-4686-AC31-18B4012ACD32}" uniqueName="40" name="Handboog" totalsRowFunction="custom" queryTableFieldId="40" dataDxfId="301" totalsRowDxfId="366">
      <totalsRowFormula>COUNTIF(KDRvNB[Handboog],"x")</totalsRowFormula>
    </tableColumn>
    <tableColumn id="44" xr3:uid="{E6F794C2-3817-417C-8810-8334633C414B}" uniqueName="44" name="Aantal handboogschutters" totalsRowFunction="sum" queryTableFieldId="82" totalsRowDxfId="367"/>
    <tableColumn id="38" xr3:uid="{9C03B735-F304-466D-A1C4-1C0937DD55E6}" uniqueName="38" name="Kruisboog" totalsRowFunction="custom" queryTableFieldId="38" dataDxfId="300" totalsRowDxfId="368">
      <totalsRowFormula>COUNTIF(KDRvNB[Kruisboog],"x")</totalsRowFormula>
    </tableColumn>
    <tableColumn id="71" xr3:uid="{03EB338E-F00D-40E8-907E-B97BDC6559CA}" uniqueName="71" name="Aantal kruisboogschutters" totalsRowFunction="sum" queryTableFieldId="83" totalsRowDxfId="369"/>
    <tableColumn id="72" xr3:uid="{285F447E-7326-45B3-8150-74F29EB49BB2}" uniqueName="72" name="Luchtgeweer jeugd niet ouder dan 17 jaar." totalsRowFunction="custom" queryTableFieldId="84" dataDxfId="837" totalsRowDxfId="370">
      <totalsRowFormula>COUNTIF(KDRvNB[Luchtgeweer jeugd niet ouder dan 17 jaar.],"x")</totalsRowFormula>
    </tableColumn>
    <tableColumn id="73" xr3:uid="{3A67694F-3F22-4A63-943B-CAD44BC1951B}" uniqueName="73" name="Aantal korpsen" totalsRowFunction="sum" queryTableFieldId="85" totalsRowDxfId="371"/>
    <tableColumn id="74" xr3:uid="{C7B1D8C3-CD69-46BB-B8EF-3F0A7B7E812A}" uniqueName="74" name="Opgegeven jeugdkorpsen LG" totalsRowFunction="sum" queryTableFieldId="86" totalsRowDxfId="372"/>
    <tableColumn id="45" xr3:uid="{2E0BDF72-C038-43B2-B6CF-DFB9D6093FA3}" uniqueName="45" name="Totaal aantal deelnemers" totalsRowFunction="sum" queryTableFieldId="45" dataDxfId="299" totalsRowDxfId="373"/>
    <tableColumn id="46" xr3:uid="{5E1BF68D-462C-409C-978D-1318A9143282}" uniqueName="46" name="Waarvan aantal jeugd (t/m 15 jaar)" totalsRowFunction="sum" queryTableFieldId="46" dataDxfId="298" totalsRowDxfId="374"/>
    <tableColumn id="47" xr3:uid="{8A13F570-A52A-4AD2-BC9A-520454870C49}" uniqueName="47" name="Kanon etc." totalsRowFunction="custom" queryTableFieldId="47" dataDxfId="836" totalsRowDxfId="375">
      <totalsRowFormula>COUNTIF(KDRvNB[Kanon etc.],"x")</totalsRowFormula>
    </tableColumn>
    <tableColumn id="48" xr3:uid="{0444CE5A-A537-4AA1-A567-0413645D4AE8}" uniqueName="48" name="Paarden en/of koetsen" totalsRowFunction="custom" queryTableFieldId="48" dataDxfId="835" totalsRowDxfId="376">
      <totalsRowFormula>COUNTIF(KDRvNB[Paarden en/of koetsen],"x")</totalsRowFormula>
    </tableColumn>
    <tableColumn id="49" xr3:uid="{E6CD3893-5116-41A8-997A-AC4CE71AB4D7}" uniqueName="49" name="Toelichting/opmerkingen" queryTableFieldId="49" dataDxfId="297" totalsRowDxfId="377"/>
    <tableColumn id="50" xr3:uid="{D30A42E9-05F3-4D27-AADE-91D7208D65F3}" uniqueName="50" name="Inzending-ID" queryTableFieldId="50" dataDxfId="834" totalsRowDxfId="378"/>
    <tableColumn id="51" xr3:uid="{994F13E0-9F42-4EC0-9C25-32468DC3D4EF}" uniqueName="51" name="Inzenddatum" queryTableFieldId="51" dataDxfId="296" totalsRowDxfId="379"/>
    <tableColumn id="75" xr3:uid="{AACADDA0-B957-4C95-BC88-FFD64633A5C3}" uniqueName="75" name="Date Updated" queryTableFieldId="87" dataDxfId="295" totalsRowDxfId="380"/>
    <tableColumn id="52" xr3:uid="{536E9C37-AE5D-4771-B866-84F7EFC28977}" uniqueName="52" name="Naam van het hoofdkorps" queryTableFieldId="52" dataDxfId="833" totalsRowDxfId="381"/>
    <tableColumn id="53" xr3:uid="{22E584B9-D500-41BB-8BF2-C5EC64BA4A42}" uniqueName="53" name="Zal op treden als (hoofdkorps)" queryTableFieldId="53" dataDxfId="832" totalsRowDxfId="382"/>
    <tableColumn id="54" xr3:uid="{61D13E15-1C39-4998-AA76-3572993DA605}" uniqueName="54" name="Vorm van twee muziekwerken (hoofdkorps)" queryTableFieldId="54" dataDxfId="831" totalsRowDxfId="383"/>
    <tableColumn id="55" xr3:uid="{94ED26B9-C100-4987-8FE7-275434ADD182}" uniqueName="55" name="Zal uitkomen in de: (hoofdkorps)" queryTableFieldId="55" dataDxfId="830" totalsRowDxfId="384"/>
    <tableColumn id="56" xr3:uid="{04D6D9F4-11A1-4E44-A1CE-1D67D85CBCD9}" uniqueName="56" name="Muziekwerk1 (hoofdkorps)" queryTableFieldId="56" dataDxfId="829" totalsRowDxfId="385"/>
    <tableColumn id="57" xr3:uid="{1FCC70C9-1F01-4EE9-9783-A3F86B50143B}" uniqueName="57" name="Muziekwerk2 (hoofdkorps)" queryTableFieldId="57" dataDxfId="828" totalsRowDxfId="386"/>
    <tableColumn id="58" xr3:uid="{4059FC07-4172-4C8D-8C7E-169B90488A40}" uniqueName="58" name="Korps bestaat uit ... deelnemers (hoofdkorps)" queryTableFieldId="58" dataDxfId="827" totalsRowDxfId="387"/>
    <tableColumn id="59" xr3:uid="{642F325A-6533-45FF-8881-86FE0F8A3537}" uniqueName="59" name="Naam van het 2e korps" queryTableFieldId="59" dataDxfId="826" totalsRowDxfId="388"/>
    <tableColumn id="60" xr3:uid="{FD281AB3-5A3D-4BA1-8114-EE4A4C9A4D3E}" uniqueName="60" name="Zal op treden als (2e korps)" queryTableFieldId="60" dataDxfId="825" totalsRowDxfId="389"/>
    <tableColumn id="61" xr3:uid="{01EF27E7-EFAF-43A3-89C4-695FA0FEFEDA}" uniqueName="61" name="Vorm van twee muziekwerken (2e korps)" queryTableFieldId="61" dataDxfId="824" totalsRowDxfId="390"/>
    <tableColumn id="62" xr3:uid="{C9A48CA6-16D8-4CA7-82A7-53D3636C8375}" uniqueName="62" name="Zal uitkomen in de: (2e korps)" queryTableFieldId="62" dataDxfId="823" totalsRowDxfId="391"/>
    <tableColumn id="63" xr3:uid="{EF024D81-620C-4E45-87DB-62BEA0571007}" uniqueName="63" name="Muziekwerk1 (2e korps)" queryTableFieldId="63" dataDxfId="822" totalsRowDxfId="392"/>
    <tableColumn id="64" xr3:uid="{5DDAF5F0-1DBE-4871-8B19-C22FFA31B9BD}" uniqueName="64" name="Muziekwerk2 (2e korps)" queryTableFieldId="64" dataDxfId="294" totalsRowDxfId="393"/>
    <tableColumn id="65" xr3:uid="{76F1C6F1-D484-41E2-AF8C-221FB3C3442F}" uniqueName="65" name="Korps bestaat uit ... deelnemers (2e korps)" queryTableFieldId="65" dataDxfId="293" totalsRowDxfId="394"/>
    <tableColumn id="69" xr3:uid="{8723417E-0056-48DB-BD7C-CFD726D1E90E}" uniqueName="69" name="Mechanische muziek" queryTableFieldId="69" dataDxfId="292" totalsRowDxfId="395"/>
    <tableColumn id="66" xr3:uid="{A258ECB5-EA42-47A3-9965-66B4540827F3}" uniqueName="66" name="Onderdelen" queryTableFieldId="66" dataDxfId="291" totalsRowDxfId="396"/>
    <tableColumn id="67" xr3:uid="{276716A1-6C96-4B1C-ABEA-171ACB050A77}" uniqueName="67" name="Secties" queryTableFieldId="67" dataDxfId="290" totalsRowDxfId="397"/>
    <tableColumn id="68" xr3:uid="{07574B23-6B09-4583-80FD-023D2E8ACABE}" uniqueName="68" name="Leeftijdscategorie" queryTableFieldId="68" dataDxfId="289" totalsRowDxfId="398"/>
    <tableColumn id="70" xr3:uid="{7CBECFE5-28C8-4F6D-94C3-BF35CCED0979}" uniqueName="70" name="Aantal opgegeven majorettes" totalsRowFunction="sum" queryTableFieldId="70" dataDxfId="288" totalsRowDxfId="399"/>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8B779F-4064-423E-8082-2381B0C548D1}" name="LJ" displayName="LJ" ref="A6:BW7" tableType="queryTable" totalsRowShown="0" headerRowDxfId="821">
  <autoFilter ref="A6:BW7" xr:uid="{4F8B779F-4064-423E-8082-2381B0C548D1}"/>
  <tableColumns count="75">
    <tableColumn id="1" xr3:uid="{5FE8EE3F-AD35-48A6-85F6-BDFB105B0725}" uniqueName="1" name="Kringdag" queryTableFieldId="1" dataDxfId="287"/>
    <tableColumn id="2" xr3:uid="{9BCFCC0D-6A6A-4A94-8347-6671F120F3AC}" uniqueName="2" name="Ver.nr" queryTableFieldId="2" dataDxfId="286"/>
    <tableColumn id="3" xr3:uid="{19B2C186-27FD-419C-B197-8025BF5CFE71}" uniqueName="3" name="Naam vereniging" queryTableFieldId="3" dataDxfId="285"/>
    <tableColumn id="4" xr3:uid="{D3334820-466D-4BDD-B965-0B7E193F3233}" uniqueName="4" name="Delegatie" queryTableFieldId="4" dataDxfId="284"/>
    <tableColumn id="5" xr3:uid="{46317316-8382-49B2-BA5D-6FEDF3FD7884}" uniqueName="5" name="Muziekkorps bij mars en defilé" queryTableFieldId="5" dataDxfId="283"/>
    <tableColumn id="6" xr3:uid="{13D83B93-BCD1-4CD4-9C3F-433F446A5723}" uniqueName="6" name="Deeln. jeugdkoningschieten" queryTableFieldId="6" dataDxfId="282"/>
    <tableColumn id="7" xr3:uid="{89928C9B-C271-4E70-965C-A19CB2581977}" uniqueName="7" name="Maj. Senioren jureren bij mars" queryTableFieldId="7" dataDxfId="281"/>
    <tableColumn id="8" xr3:uid="{02A99D9F-6464-4218-A98E-811C81615D5C}" uniqueName="8" name="Maj. Jeugd jureren bij mars" queryTableFieldId="8" dataDxfId="280"/>
    <tableColumn id="9" xr3:uid="{CAD36238-5F96-47BD-B57F-DD6532718290}" uniqueName="9" name="Korps senioren" queryTableFieldId="9" dataDxfId="279"/>
    <tableColumn id="10" xr3:uid="{E85CFA93-54A2-4E31-85FE-7FEFD8641F8E}" uniqueName="10" name="Junioren korps 1" queryTableFieldId="104"/>
    <tableColumn id="11" xr3:uid="{C6BACE44-D4CB-4215-A3C3-539AAB5FB41C}" uniqueName="11" name="Junioren korps 2" queryTableFieldId="105"/>
    <tableColumn id="26" xr3:uid="{629685E4-7852-4956-97AC-86BF9C7AC0F9}" uniqueName="26" name="Aspiranten korps 1" queryTableFieldId="106"/>
    <tableColumn id="30" xr3:uid="{F8BDC429-9CDD-4125-AD5F-52CD2851CBA4}" uniqueName="30" name="Aspiranten korps 2" queryTableFieldId="107"/>
    <tableColumn id="12" xr3:uid="{0671084D-0D3B-4D86-86A9-2FCF796FF887}" uniqueName="12" name="Acrobatisch senioren" queryTableFieldId="12" dataDxfId="278"/>
    <tableColumn id="13" xr3:uid="{652975E7-D8A2-418E-9E7D-70CF9AC7B67B}" uniqueName="13" name="Acrobatisch junioren" queryTableFieldId="13" dataDxfId="277"/>
    <tableColumn id="14" xr3:uid="{7D143A4D-59D1-43DC-9801-318329105B70}" uniqueName="14" name="Acrobatisch aspiranten" queryTableFieldId="14" dataDxfId="276"/>
    <tableColumn id="15" xr3:uid="{22E52461-0B78-4950-B7A2-9190EC07FB64}" uniqueName="15" name="Show senioren" queryTableFieldId="15" dataDxfId="275"/>
    <tableColumn id="16" xr3:uid="{164C10B7-0CCB-4FBA-9EDF-36DD8C3E8585}" uniqueName="16" name="Show junioren" queryTableFieldId="16" dataDxfId="274"/>
    <tableColumn id="17" xr3:uid="{7F98B6E0-7F7C-4A4D-BEF0-395CC5476215}" uniqueName="17" name="Show aspiranten" queryTableFieldId="17" dataDxfId="273"/>
    <tableColumn id="18" xr3:uid="{25275654-3B66-4EC8-A412-DF64E362810F}" uniqueName="18" name="Senioren indiv." queryTableFieldId="18" dataDxfId="272"/>
    <tableColumn id="19" xr3:uid="{E061961B-1A71-4111-B704-2167D4FDCA04}" uniqueName="19" name="Junioren indiv." queryTableFieldId="19" dataDxfId="271"/>
    <tableColumn id="20" xr3:uid="{7986702B-614E-495B-88C8-CC1A210170CF}" uniqueName="20" name="Aspiranten indiv." queryTableFieldId="20" dataDxfId="270"/>
    <tableColumn id="21" xr3:uid="{A5461B4C-B2D1-498B-A848-42A3BC7A8BC4}" uniqueName="21" name="Sen. ind opgegeven namen" queryTableFieldId="21" dataDxfId="269"/>
    <tableColumn id="22" xr3:uid="{BEE788A5-74B3-4FB3-907A-7BF2432D6207}" uniqueName="22" name="Jun. ind opgegeven namen" queryTableFieldId="22" dataDxfId="268"/>
    <tableColumn id="23" xr3:uid="{8E05A72F-E53E-401A-8B0B-592CC8CBB173}" uniqueName="23" name="Asp. ind opgegeven namen" queryTableFieldId="23" dataDxfId="267"/>
    <tableColumn id="24" xr3:uid="{D7485158-293F-4E3D-98D2-CF55D58B12AF}" uniqueName="24" name="Hoofdkorps" queryTableFieldId="24" dataDxfId="266"/>
    <tableColumn id="25" xr3:uid="{AB010968-2E7B-460C-8993-AC1D70D3BD4E}" uniqueName="25" name="2e korps" queryTableFieldId="25" dataDxfId="265"/>
    <tableColumn id="31" xr3:uid="{34744077-C62E-48CE-9727-2B1CD76BEDBC}" uniqueName="31" name="Groepen, teams, ensembles en duo's" queryTableFieldId="72"/>
    <tableColumn id="27" xr3:uid="{599500F2-464C-4024-AAAB-8143C92D5AA7}" uniqueName="27" name="Senioren" queryTableFieldId="27" dataDxfId="264"/>
    <tableColumn id="32" xr3:uid="{AAC23FE4-6A55-4F3F-B5DA-621F4A965531}" uniqueName="32" name="Jong volwassene" queryTableFieldId="73"/>
    <tableColumn id="28" xr3:uid="{A995C14A-D6B8-4E52-B230-85D46C534476}" uniqueName="28" name="Junioren" queryTableFieldId="28" dataDxfId="263"/>
    <tableColumn id="29" xr3:uid="{210EE2AB-E41F-4188-A61F-76AB62A874A5}" uniqueName="29" name="Aspiranten" queryTableFieldId="29" dataDxfId="262"/>
    <tableColumn id="38" xr3:uid="{ED65980F-756D-4E2B-9049-AA3434C09965}" uniqueName="38" name="Opgegeven senioren" queryTableFieldId="74"/>
    <tableColumn id="39" xr3:uid="{85A913A2-DB2D-473D-B40F-376E74A1C01D}" uniqueName="39" name="Opgegeven jong volwassene" queryTableFieldId="75"/>
    <tableColumn id="66" xr3:uid="{6F5192E5-1B91-4B51-9EA0-7453F4B7B17A}" uniqueName="66" name="Opgegeven junioren" queryTableFieldId="76"/>
    <tableColumn id="67" xr3:uid="{95B815EB-3996-4F6E-AD75-4CDFD93F7051}" uniqueName="67" name="Opgegeven aspiranten" queryTableFieldId="77"/>
    <tableColumn id="33" xr3:uid="{21ED27EA-920A-476C-A987-C886705272C8}" uniqueName="33" name="Marketentsters" queryTableFieldId="33" dataDxfId="261"/>
    <tableColumn id="34" xr3:uid="{A3734509-3769-4BF8-B534-139916BF52A0}" uniqueName="34" name="Luchtgeweer" queryTableFieldId="34" dataDxfId="260"/>
    <tableColumn id="68" xr3:uid="{F3C084A4-77EF-4E7A-9A92-9EA8703884F5}" uniqueName="68" name="Aantal luchtgeweerschutters" queryTableFieldId="78"/>
    <tableColumn id="35" xr3:uid="{1ED86575-D359-4926-BEF3-9C7AE94C3A86}" uniqueName="35" name="Luchtpistool" queryTableFieldId="35" dataDxfId="259"/>
    <tableColumn id="69" xr3:uid="{2DEBD8E0-C520-46B4-9BA0-A78BFAF216BA}" uniqueName="69" name="Aantal luchtpistoolschutters" queryTableFieldId="79"/>
    <tableColumn id="37" xr3:uid="{067FF6A5-1097-446D-83C7-E12AC30F6D58}" uniqueName="37" name="Handboog" queryTableFieldId="37" dataDxfId="258"/>
    <tableColumn id="70" xr3:uid="{63E98E26-99A4-4F5F-A89F-13E5EB533A70}" uniqueName="70" name="Aantal handboogschutters" queryTableFieldId="80"/>
    <tableColumn id="36" xr3:uid="{02F8BD9B-9513-4067-B58F-BCD37B8D4FA4}" uniqueName="36" name="Kruisboog" queryTableFieldId="36" dataDxfId="257"/>
    <tableColumn id="71" xr3:uid="{EEFF6F95-61D3-4BBB-B11E-D55A71246670}" uniqueName="71" name="Aantal kruisboogschutters" queryTableFieldId="81"/>
    <tableColumn id="72" xr3:uid="{B34522E3-4006-454F-B02C-47071B21675C}" uniqueName="72" name="Luchtgeweer jeugd niet ouder dan 17 jaar." queryTableFieldId="82" dataDxfId="820"/>
    <tableColumn id="73" xr3:uid="{813B1FCC-A6C1-4D1E-9342-C3F8FDE217C5}" uniqueName="73" name="Aantal korpsen" queryTableFieldId="83"/>
    <tableColumn id="74" xr3:uid="{A5007B21-DE97-42AC-9201-C89E60AAADA0}" uniqueName="74" name="Opgegeven jeugdkorpsen LG" queryTableFieldId="84"/>
    <tableColumn id="40" xr3:uid="{D1DF0CC4-6AFA-4F26-94E7-B3FEE75658C3}" uniqueName="40" name="Totaal aantal deelnemers" queryTableFieldId="40" dataDxfId="256"/>
    <tableColumn id="41" xr3:uid="{DDE8DCDB-5F0F-41D4-9355-EDE72098650B}" uniqueName="41" name="Waarvan aantal jeugd (t/m 15 jaar)" queryTableFieldId="41" dataDxfId="255"/>
    <tableColumn id="42" xr3:uid="{4AD23B45-1194-4899-8A72-51863633B198}" uniqueName="42" name="Kanon etc." queryTableFieldId="42" dataDxfId="254"/>
    <tableColumn id="43" xr3:uid="{0D9B4516-9153-4C8A-A67A-D8C61F99DC5C}" uniqueName="43" name="Paarden en/of koetsen" queryTableFieldId="43" dataDxfId="253"/>
    <tableColumn id="44" xr3:uid="{70404585-6E1E-4735-9635-0D99B20FBC26}" uniqueName="44" name="Toelichting/opmerkingen" queryTableFieldId="44" dataDxfId="252"/>
    <tableColumn id="45" xr3:uid="{93E5C4CD-053E-41C7-AD4F-D627752F5406}" uniqueName="45" name="Inzending-ID" queryTableFieldId="45" dataDxfId="251"/>
    <tableColumn id="46" xr3:uid="{28BA3F0A-7B5B-4370-BB77-C1D614B0BA57}" uniqueName="46" name="Inzenddatum" queryTableFieldId="46" dataDxfId="250"/>
    <tableColumn id="75" xr3:uid="{28473866-4557-4C5B-984A-95416A587C6E}" uniqueName="75" name="Date Updated" queryTableFieldId="85" dataDxfId="249"/>
    <tableColumn id="47" xr3:uid="{8BAA550D-B5A2-4704-807E-D080519E7C8E}" uniqueName="47" name="Naam van het hoofdkorps" queryTableFieldId="47" dataDxfId="248"/>
    <tableColumn id="48" xr3:uid="{4C0B3A23-738E-48D6-B7A1-DB4B66FC7108}" uniqueName="48" name="Zal op treden als (hoofdkorps)" queryTableFieldId="48" dataDxfId="247"/>
    <tableColumn id="49" xr3:uid="{978EBC24-9211-4AD4-BA5E-892076319ACD}" uniqueName="49" name="Vorm van twee muziekwerken (hoofdkorps)" queryTableFieldId="49" dataDxfId="246"/>
    <tableColumn id="50" xr3:uid="{5876098D-128A-4F2B-9BDD-05D45807EBB2}" uniqueName="50" name="Zal uitkomen in de: (hoofdkorps)" queryTableFieldId="50" dataDxfId="245"/>
    <tableColumn id="51" xr3:uid="{05A18B09-3195-4A36-B169-BFC361010AF9}" uniqueName="51" name="Muziekwerk1 (hoofdkorps)" queryTableFieldId="51" dataDxfId="244"/>
    <tableColumn id="52" xr3:uid="{080589DF-D751-4E72-A1FF-D1499E799DFF}" uniqueName="52" name="Muziekwerk2 (hoofdkorps)" queryTableFieldId="52" dataDxfId="243"/>
    <tableColumn id="53" xr3:uid="{DBA6CB2B-424D-42B2-AEE2-173CFFC390B3}" uniqueName="53" name="Korps bestaat uit ... deelnemers (hoofdkorps)" queryTableFieldId="53" dataDxfId="242"/>
    <tableColumn id="54" xr3:uid="{0193C038-31CC-4C3D-B86C-79F592AFB69F}" uniqueName="54" name="Naam van het 2e korps" queryTableFieldId="54" dataDxfId="241"/>
    <tableColumn id="55" xr3:uid="{BF390BAF-759F-46A2-B089-A26594BD5AE3}" uniqueName="55" name="Zal op treden als (2e korps)" queryTableFieldId="55" dataDxfId="240"/>
    <tableColumn id="56" xr3:uid="{14E841BE-A956-401D-8BCB-786DD5C94AB2}" uniqueName="56" name="Vorm van twee muziekwerken (2e korps)" queryTableFieldId="56" dataDxfId="239"/>
    <tableColumn id="57" xr3:uid="{6B38B763-EDC5-43F3-B366-D91005BD8A10}" uniqueName="57" name="Zal uitkomen in de: (2e korps)" queryTableFieldId="57" dataDxfId="238"/>
    <tableColumn id="58" xr3:uid="{C7F25D80-94FE-4E9D-97DB-72DBE154F97B}" uniqueName="58" name="Muziekwerk1 (2e korps)" queryTableFieldId="58" dataDxfId="237"/>
    <tableColumn id="59" xr3:uid="{ED2D53AE-F005-432E-AE06-D5BCC146DE7B}" uniqueName="59" name="Muziekwerk2 (2e korps)" queryTableFieldId="59" dataDxfId="236"/>
    <tableColumn id="60" xr3:uid="{58169E12-99B5-492C-8129-4C808E23FA7B}" uniqueName="60" name="Korps bestaat uit ... deelnemers (2e korps)" queryTableFieldId="60" dataDxfId="235"/>
    <tableColumn id="64" xr3:uid="{4D6655B8-62D6-4EAB-A7FB-A89BE3494370}" uniqueName="64" name="Mechanische muziek" queryTableFieldId="64" dataDxfId="234"/>
    <tableColumn id="61" xr3:uid="{A2F2496B-A903-498D-AFCA-BABB37C97D6C}" uniqueName="61" name="Onderdelen" queryTableFieldId="61" dataDxfId="233"/>
    <tableColumn id="62" xr3:uid="{10DCF5A1-FD69-4824-9AC7-CD0F873384CD}" uniqueName="62" name="Secties" queryTableFieldId="62" dataDxfId="232"/>
    <tableColumn id="63" xr3:uid="{489834DB-73B0-4029-AA2F-15D1970AC822}" uniqueName="63" name="Leeftijdscategorie" queryTableFieldId="63" dataDxfId="231"/>
    <tableColumn id="65" xr3:uid="{BAC977F7-6EBE-47F3-A368-FEF310D3AC6C}" uniqueName="65" name="Aantal opgegeven majorettes" queryTableFieldId="65" dataDxfId="230"/>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BE24FE-77E5-4EA1-8B0F-4712CD50A33E}" name="FSD" displayName="FSD" ref="A6:BW26" tableType="queryTable" totalsRowCount="1" headerRowDxfId="819" totalsRowDxfId="818">
  <autoFilter ref="A6:BW25" xr:uid="{73BE24FE-77E5-4EA1-8B0F-4712CD50A33E}"/>
  <tableColumns count="75">
    <tableColumn id="1" xr3:uid="{230D35B1-318E-4FC7-8CFE-CB72561A7C78}" uniqueName="1" name="Kringdag" totalsRowLabel="Totaal" queryTableFieldId="1" dataDxfId="157"/>
    <tableColumn id="2" xr3:uid="{98CF1A57-9A64-434E-8F7D-6C3D1E7CC1F3}" uniqueName="2" name="Ver.nr" queryTableFieldId="2" dataDxfId="156"/>
    <tableColumn id="3" xr3:uid="{A1938DE9-F00D-4BA8-8A5F-EE6F77AD45DA}" uniqueName="3" name="Naam vereniging" totalsRowFunction="count" queryTableFieldId="3" dataDxfId="155"/>
    <tableColumn id="4" xr3:uid="{8445C7DB-35BB-43B8-8DFD-7447E65AEC62}" uniqueName="4" name="Delegatie" totalsRowFunction="custom" queryTableFieldId="4" dataDxfId="154" totalsRowDxfId="158">
      <totalsRowFormula>COUNTIF(FSD[Delegatie],"x")</totalsRowFormula>
    </tableColumn>
    <tableColumn id="5" xr3:uid="{A7D8FD7D-5F90-4D5B-9819-8E1A5B2EAE3F}" uniqueName="5" name="Muziekkorps bij mars en defilé" totalsRowFunction="custom" queryTableFieldId="5" dataDxfId="153" totalsRowDxfId="159">
      <totalsRowFormula>COUNTIF(FSD[Muziekkorps bij mars en defilé],"x")</totalsRowFormula>
    </tableColumn>
    <tableColumn id="6" xr3:uid="{51EF7B06-BDD6-435B-A5D6-9D703B26EE37}" uniqueName="6" name="Deeln. jeugdkoningschieten" totalsRowFunction="custom" queryTableFieldId="6" dataDxfId="152" totalsRowDxfId="160">
      <totalsRowFormula>COUNTIF(FSD[Deeln. jeugdkoningschieten],"x")</totalsRowFormula>
    </tableColumn>
    <tableColumn id="7" xr3:uid="{FFA6CD71-9DBE-4EB0-AEE3-60F267D05DF9}" uniqueName="7" name="Maj. Senioren jureren bij mars" totalsRowFunction="custom" queryTableFieldId="7" dataDxfId="151" totalsRowDxfId="161">
      <totalsRowFormula>COUNTIF(FSD[Maj. Senioren jureren bij mars],"x")</totalsRowFormula>
    </tableColumn>
    <tableColumn id="8" xr3:uid="{322A5420-10BF-47E2-9B31-CA992EDA8F66}" uniqueName="8" name="Maj. Jeugd jureren bij mars" totalsRowFunction="custom" queryTableFieldId="8" dataDxfId="150" totalsRowDxfId="162">
      <totalsRowFormula>COUNTIF(FSD[Maj. Jeugd jureren bij mars],"x")</totalsRowFormula>
    </tableColumn>
    <tableColumn id="9" xr3:uid="{D68C2110-07D1-4FBE-AA9F-E4CC6B7C3081}" uniqueName="9" name="Korps senioren" totalsRowFunction="count" queryTableFieldId="9" dataDxfId="149" totalsRowDxfId="163"/>
    <tableColumn id="10" xr3:uid="{0E9FDA67-0BA2-440B-862C-AA13736A58A1}" uniqueName="10" name="Junioren korps 1" totalsRowFunction="count" queryTableFieldId="106" totalsRowDxfId="164"/>
    <tableColumn id="11" xr3:uid="{F1D8E8E6-F687-49A4-9578-08E116AFF37A}" uniqueName="11" name="Junioren korps 2" totalsRowFunction="count" queryTableFieldId="107" totalsRowDxfId="165"/>
    <tableColumn id="26" xr3:uid="{F2C10C82-BF45-4F2D-9F7A-DEBF4CCE992A}" uniqueName="26" name="Aspiranten korps 1" totalsRowFunction="count" queryTableFieldId="108" totalsRowDxfId="166"/>
    <tableColumn id="30" xr3:uid="{FCCB5B66-5964-450C-BBFA-4BA2596DC701}" uniqueName="30" name="Aspiranten korps 2" totalsRowFunction="count" queryTableFieldId="109" totalsRowDxfId="167"/>
    <tableColumn id="12" xr3:uid="{C04A0F2F-F380-4FEF-A0BC-8F43D2154B1F}" uniqueName="12" name="Acrobatisch senioren" totalsRowFunction="count" queryTableFieldId="12" dataDxfId="148" totalsRowDxfId="168"/>
    <tableColumn id="13" xr3:uid="{04F2402D-62D5-4A1D-96B1-681E01E2DFEA}" uniqueName="13" name="Acrobatisch junioren" totalsRowFunction="count" queryTableFieldId="13" dataDxfId="147" totalsRowDxfId="169"/>
    <tableColumn id="14" xr3:uid="{B577E129-427F-4CFB-B068-049EF4DE88AA}" uniqueName="14" name="Acrobatisch aspiranten" totalsRowFunction="count" queryTableFieldId="14" dataDxfId="146" totalsRowDxfId="170"/>
    <tableColumn id="15" xr3:uid="{40902506-8CD4-4DCB-99D7-1B06FAF7730E}" uniqueName="15" name="Show senioren" queryTableFieldId="15" dataDxfId="145" totalsRowDxfId="171"/>
    <tableColumn id="16" xr3:uid="{21333790-5ACD-4D58-A41B-95FAEC1B8A0E}" uniqueName="16" name="Show junioren" queryTableFieldId="16" dataDxfId="144" totalsRowDxfId="172"/>
    <tableColumn id="17" xr3:uid="{899CA3AD-01FC-4667-991A-EAC096428C13}" uniqueName="17" name="Show aspiranten" queryTableFieldId="17" dataDxfId="143" totalsRowDxfId="173"/>
    <tableColumn id="18" xr3:uid="{3F07E718-944B-45A3-A734-ABE5359A2AEF}" uniqueName="18" name="Senioren indiv." totalsRowFunction="sum" queryTableFieldId="18" dataDxfId="142" totalsRowDxfId="174"/>
    <tableColumn id="19" xr3:uid="{9D93CF78-FCC8-4A56-B8C4-84EB08B038D5}" uniqueName="19" name="Junioren indiv." totalsRowFunction="sum" queryTableFieldId="19" dataDxfId="141" totalsRowDxfId="175"/>
    <tableColumn id="20" xr3:uid="{E715C39E-E43E-4748-BF18-4CF54EDCB640}" uniqueName="20" name="Aspiranten indiv." totalsRowFunction="sum" queryTableFieldId="20" dataDxfId="140" totalsRowDxfId="176"/>
    <tableColumn id="21" xr3:uid="{AFECDED6-B2B5-4C11-9125-057CBA088D19}" uniqueName="21" name="Sen. ind opgegeven namen" totalsRowFunction="sum" queryTableFieldId="21" dataDxfId="139" totalsRowDxfId="177"/>
    <tableColumn id="22" xr3:uid="{72800143-0F64-4DE9-B866-EC2A09B6CB7C}" uniqueName="22" name="Jun. ind opgegeven namen" totalsRowFunction="sum" queryTableFieldId="22" dataDxfId="138" totalsRowDxfId="178"/>
    <tableColumn id="23" xr3:uid="{8D305989-27B8-4B01-8E74-8E944F746FA7}" uniqueName="23" name="Asp. ind opgegeven namen" totalsRowFunction="sum" queryTableFieldId="23" dataDxfId="137" totalsRowDxfId="179"/>
    <tableColumn id="24" xr3:uid="{12EA3F67-7A37-49EE-B7CD-CE094D8154B6}" uniqueName="24" name="Hoofdkorps" totalsRowFunction="custom" queryTableFieldId="24" dataDxfId="136" totalsRowDxfId="180">
      <totalsRowFormula>COUNTIF(FSD[Hoofdkorps],"x")</totalsRowFormula>
    </tableColumn>
    <tableColumn id="25" xr3:uid="{FA573B34-245C-47F3-81F2-0F464CA67CEA}" uniqueName="25" name="2e korps" totalsRowFunction="custom" queryTableFieldId="25" dataDxfId="135" totalsRowDxfId="181">
      <totalsRowFormula>COUNTIF(FSD[2e korps],"x")</totalsRowFormula>
    </tableColumn>
    <tableColumn id="31" xr3:uid="{C6B6683E-5C96-41A9-B01B-566544560117}" uniqueName="31" name="Groepen, teams, ensembles en duo's" totalsRowFunction="sum" queryTableFieldId="74" totalsRowDxfId="182"/>
    <tableColumn id="27" xr3:uid="{E6390A79-1F93-4025-9782-192BF3044E75}" uniqueName="27" name="Senioren" totalsRowFunction="sum" queryTableFieldId="27" dataDxfId="134" totalsRowDxfId="183"/>
    <tableColumn id="32" xr3:uid="{47F07FDD-ACC0-47B9-B47E-BE6237E27AC1}" uniqueName="32" name="Jong volwassene" totalsRowFunction="sum" queryTableFieldId="75" totalsRowDxfId="184"/>
    <tableColumn id="28" xr3:uid="{95FC90F7-6D74-41B8-BE65-1833DDE14332}" uniqueName="28" name="Junioren" totalsRowFunction="sum" queryTableFieldId="28" dataDxfId="133" totalsRowDxfId="185"/>
    <tableColumn id="29" xr3:uid="{5360D20E-C4EF-427A-B9FC-486AFA38F7BE}" uniqueName="29" name="Aspiranten" totalsRowFunction="sum" queryTableFieldId="29" dataDxfId="132" totalsRowDxfId="186"/>
    <tableColumn id="35" xr3:uid="{6EA4EA09-F769-4C5C-B075-37634BC565EA}" uniqueName="35" name="Opgegeven senioren" totalsRowFunction="sum" queryTableFieldId="76" totalsRowDxfId="187"/>
    <tableColumn id="37" xr3:uid="{2F4AE8EB-4AC3-462E-AB76-EF60F2C3EBF3}" uniqueName="37" name="Opgegeven jong volwassene" totalsRowFunction="sum" queryTableFieldId="77" totalsRowDxfId="188"/>
    <tableColumn id="39" xr3:uid="{B489B175-B462-41B5-9F40-3A706D5B579C}" uniqueName="39" name="Opgegeven junioren" totalsRowFunction="sum" queryTableFieldId="78" totalsRowDxfId="189"/>
    <tableColumn id="41" xr3:uid="{F22B8BD7-4BC7-47C5-9EFB-A26B25F5DF8B}" uniqueName="41" name="Opgegeven aspiranten" totalsRowFunction="sum" queryTableFieldId="79" totalsRowDxfId="190"/>
    <tableColumn id="33" xr3:uid="{57A237AB-A441-4825-8F6B-31D522535C94}" uniqueName="33" name="Marketentsters" totalsRowFunction="custom" queryTableFieldId="33" dataDxfId="131" totalsRowDxfId="191">
      <totalsRowFormula>COUNTIF(FSD[Marketentsters],"x")</totalsRowFormula>
    </tableColumn>
    <tableColumn id="34" xr3:uid="{CFF4B901-4816-4499-B8C8-FBB5CC26234D}" uniqueName="34" name="Luchtgeweer" totalsRowFunction="custom" queryTableFieldId="34" dataDxfId="130" totalsRowDxfId="192">
      <totalsRowFormula>COUNTIF(FSD[Luchtgeweer],"x")</totalsRowFormula>
    </tableColumn>
    <tableColumn id="42" xr3:uid="{FEA14974-141D-4214-9AD9-CDA825A0E3E5}" uniqueName="42" name="Aantal luchtgeweerschutters" totalsRowFunction="sum" queryTableFieldId="80" dataDxfId="129" totalsRowDxfId="193"/>
    <tableColumn id="36" xr3:uid="{69DE0837-B493-4676-93AE-802895BBB46E}" uniqueName="36" name="Luchtpistool" totalsRowFunction="custom" queryTableFieldId="36" dataDxfId="128" totalsRowDxfId="194">
      <totalsRowFormula>COUNTIF(FSD[Luchtpistool],"x")</totalsRowFormula>
    </tableColumn>
    <tableColumn id="43" xr3:uid="{128AC803-FF09-4C99-9BFD-05E8090ADB1F}" uniqueName="43" name="Aantal luchtpistoolschutters" totalsRowFunction="sum" queryTableFieldId="81" dataDxfId="127" totalsRowDxfId="195"/>
    <tableColumn id="40" xr3:uid="{1DEABBF7-2D57-432C-8D04-ED7529478AA1}" uniqueName="40" name="Handboog" totalsRowFunction="custom" queryTableFieldId="40" dataDxfId="126" totalsRowDxfId="196">
      <totalsRowFormula>COUNTIF(FSD[Handboog],"x")</totalsRowFormula>
    </tableColumn>
    <tableColumn id="44" xr3:uid="{761688DF-91FF-486E-BDCE-FF3E5AA8ACCE}" uniqueName="44" name="Aantal handboogschutters" totalsRowFunction="sum" queryTableFieldId="82" dataDxfId="125" totalsRowDxfId="197"/>
    <tableColumn id="38" xr3:uid="{7D5EF677-5F60-4277-AC20-0845BAEE465E}" uniqueName="38" name="Kruisboog" totalsRowFunction="custom" queryTableFieldId="38" dataDxfId="124" totalsRowDxfId="198">
      <totalsRowFormula>COUNTIF(FSD[Kruisboog],"x")</totalsRowFormula>
    </tableColumn>
    <tableColumn id="71" xr3:uid="{2C9358B9-7475-489E-9694-B3B4C97B0B32}" uniqueName="71" name="Aantal kruisboogschutters" totalsRowFunction="sum" queryTableFieldId="83" dataDxfId="123" totalsRowDxfId="199"/>
    <tableColumn id="72" xr3:uid="{A07D6C10-E787-427D-A2EC-DBBD57EC75FA}" uniqueName="72" name="Luchtgeweer jeugd niet ouder dan 17 jaar." totalsRowFunction="custom" queryTableFieldId="84" dataDxfId="122" totalsRowDxfId="200">
      <totalsRowFormula>COUNTIF(FSD[Luchtgeweer jeugd niet ouder dan 17 jaar.],"x")</totalsRowFormula>
    </tableColumn>
    <tableColumn id="73" xr3:uid="{0EB729CA-DC52-4DAF-81A1-F4CA9E39AC96}" uniqueName="73" name="Aantal korpsen" totalsRowFunction="sum" queryTableFieldId="85" totalsRowDxfId="201"/>
    <tableColumn id="74" xr3:uid="{4B828B0D-4DEA-4EB7-9E8D-62006A9F546F}" uniqueName="74" name="Opgegeven jeugdkorpsen LG" totalsRowFunction="sum" queryTableFieldId="86" totalsRowDxfId="202"/>
    <tableColumn id="45" xr3:uid="{3DDEB7CD-1ACF-477A-850B-DC26C9544089}" uniqueName="45" name="Totaal aantal deelnemers" totalsRowFunction="sum" queryTableFieldId="45" dataDxfId="121" totalsRowDxfId="203"/>
    <tableColumn id="46" xr3:uid="{03BCDF0D-E655-4FDC-9FDF-714C72EF21E0}" uniqueName="46" name="Waarvan aantal jeugd (t/m 15 jaar)" totalsRowFunction="sum" queryTableFieldId="46" dataDxfId="120" totalsRowDxfId="204"/>
    <tableColumn id="47" xr3:uid="{1848C3AC-DA5D-414D-86CC-5716528A6449}" uniqueName="47" name="Kanon etc." totalsRowFunction="custom" queryTableFieldId="47" dataDxfId="119" totalsRowDxfId="205">
      <totalsRowFormula>COUNTIF(FSD[Kanon etc.],"x")</totalsRowFormula>
    </tableColumn>
    <tableColumn id="48" xr3:uid="{9536F103-194A-4528-8CF5-42BD315ACC0E}" uniqueName="48" name="Paarden en/of koetsen" totalsRowFunction="custom" queryTableFieldId="48" dataDxfId="118" totalsRowDxfId="206">
      <totalsRowFormula>COUNTIF(FSD[Paarden en/of koetsen],"x")</totalsRowFormula>
    </tableColumn>
    <tableColumn id="49" xr3:uid="{D69853E1-38FA-4FFD-BCDE-760AAEFA4E6D}" uniqueName="49" name="Toelichting/opmerkingen" queryTableFieldId="49" dataDxfId="117" totalsRowDxfId="207"/>
    <tableColumn id="50" xr3:uid="{2D4D71CB-4C44-4624-B6A1-CA83504691E4}" uniqueName="50" name="Inzending-ID" queryTableFieldId="50" dataDxfId="116" totalsRowDxfId="208"/>
    <tableColumn id="51" xr3:uid="{F8FC0A29-19D2-441E-ABBC-6C9448E2F8E5}" uniqueName="51" name="Inzenddatum" queryTableFieldId="51" dataDxfId="115" totalsRowDxfId="209"/>
    <tableColumn id="75" xr3:uid="{DF430BCF-06A0-4909-886A-ED7C3675C9B4}" uniqueName="75" name="Date Updated" queryTableFieldId="87" dataDxfId="114" totalsRowDxfId="210"/>
    <tableColumn id="52" xr3:uid="{A17B95BB-AE23-4602-86E4-E4B69AC172FE}" uniqueName="52" name="Naam van het hoofdkorps" queryTableFieldId="52" dataDxfId="113" totalsRowDxfId="211"/>
    <tableColumn id="53" xr3:uid="{E2FBE64E-F279-4D1C-A0C3-67A6E2083C70}" uniqueName="53" name="Zal op treden als (hoofdkorps)" queryTableFieldId="53" dataDxfId="112" totalsRowDxfId="212"/>
    <tableColumn id="54" xr3:uid="{7E0FF81D-4AE6-429F-A3B8-FDB29CD17EAD}" uniqueName="54" name="Vorm van twee muziekwerken (hoofdkorps)" queryTableFieldId="54" dataDxfId="111" totalsRowDxfId="213"/>
    <tableColumn id="55" xr3:uid="{DDAF515F-C3A4-46D2-9641-5618C7145E94}" uniqueName="55" name="Zal uitkomen in de: (hoofdkorps)" queryTableFieldId="55" dataDxfId="110" totalsRowDxfId="214"/>
    <tableColumn id="56" xr3:uid="{9B712097-685D-41FF-BDCD-B39B0DAEDE68}" uniqueName="56" name="Muziekwerk1 (hoofdkorps)" queryTableFieldId="56" dataDxfId="109" totalsRowDxfId="215"/>
    <tableColumn id="57" xr3:uid="{DCE8685F-7B4B-40B8-B019-8DFBBE97A1A7}" uniqueName="57" name="Muziekwerk2 (hoofdkorps)" queryTableFieldId="57" dataDxfId="108" totalsRowDxfId="216"/>
    <tableColumn id="58" xr3:uid="{E2D403CC-64F0-40C2-BC6C-3633185356EF}" uniqueName="58" name="Korps bestaat uit ... deelnemers (hoofdkorps)" queryTableFieldId="58" dataDxfId="107" totalsRowDxfId="217"/>
    <tableColumn id="59" xr3:uid="{F2BAB700-D010-4DF5-ABBB-8C0B80B9CF18}" uniqueName="59" name="Naam van het 2e korps" queryTableFieldId="59" dataDxfId="106" totalsRowDxfId="218"/>
    <tableColumn id="60" xr3:uid="{33D15A13-08B7-4A86-80A6-20EA64C6E2A5}" uniqueName="60" name="Zal op treden als (2e korps)" queryTableFieldId="60" dataDxfId="105" totalsRowDxfId="219"/>
    <tableColumn id="61" xr3:uid="{FD5B2EDA-25E5-4AC8-973D-FA2C249175E8}" uniqueName="61" name="Vorm van twee muziekwerken (2e korps)" queryTableFieldId="61" dataDxfId="104" totalsRowDxfId="220"/>
    <tableColumn id="62" xr3:uid="{62B0C79A-C44C-44F0-8B47-55CA4F4FBFFB}" uniqueName="62" name="Zal uitkomen in de: (2e korps)" queryTableFieldId="62" dataDxfId="103" totalsRowDxfId="221"/>
    <tableColumn id="63" xr3:uid="{D1B9CF45-CE19-4F97-8A84-8EC77B278A3D}" uniqueName="63" name="Muziekwerk1 (2e korps)" queryTableFieldId="63" dataDxfId="102" totalsRowDxfId="222"/>
    <tableColumn id="64" xr3:uid="{12EEBE20-D33A-4624-AAB1-9C626FD7E923}" uniqueName="64" name="Muziekwerk2 (2e korps)" queryTableFieldId="64" dataDxfId="101" totalsRowDxfId="223"/>
    <tableColumn id="65" xr3:uid="{04BCB239-F2BF-43F7-8769-8C4596666DC7}" uniqueName="65" name="Korps bestaat uit ... deelnemers (2e korps)" queryTableFieldId="65" dataDxfId="100" totalsRowDxfId="224"/>
    <tableColumn id="69" xr3:uid="{48685445-1CE2-4641-9D83-AE4933D7CA2D}" uniqueName="69" name="Mechanische muziek" queryTableFieldId="69" dataDxfId="99" totalsRowDxfId="225"/>
    <tableColumn id="66" xr3:uid="{CA4F0955-5464-46EE-BEA9-38CE7800D2EC}" uniqueName="66" name="Onderdelen" queryTableFieldId="66" dataDxfId="98" totalsRowDxfId="226"/>
    <tableColumn id="67" xr3:uid="{3F1F53B8-F781-401E-82C8-90031468BF1B}" uniqueName="67" name="Secties" queryTableFieldId="67" dataDxfId="97" totalsRowDxfId="227"/>
    <tableColumn id="68" xr3:uid="{D58A6DB8-6A15-4F87-AC46-684B07791844}" uniqueName="68" name="Leeftijdscategorie" queryTableFieldId="68" dataDxfId="96" totalsRowDxfId="228"/>
    <tableColumn id="70" xr3:uid="{306F10D5-06E3-4B62-BCA3-911F4788FCB0}" uniqueName="70" name="Aantal opgegeven majorettes" totalsRowFunction="sum" queryTableFieldId="70" dataDxfId="95" totalsRowDxfId="229"/>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0D1A4A-A185-49B3-AA23-9EC8A2F0ED97}" name="GKVI" displayName="GKVI" ref="A6:W26" tableType="queryTable" totalsRowCount="1" headerRowDxfId="817">
  <autoFilter ref="A6:W25" xr:uid="{580D1A4A-A185-49B3-AA23-9EC8A2F0ED97}"/>
  <tableColumns count="23">
    <tableColumn id="2" xr3:uid="{40F56B9E-0D9C-4F2A-B8F1-34C3B3D7E994}" uniqueName="2" name="Inzending-ID" totalsRowLabel="Totaal" queryTableFieldId="29" dataDxfId="73"/>
    <tableColumn id="20" xr3:uid="{1DF80CEA-9B28-4579-A6A0-97308306E1C1}" uniqueName="20" name="Inzenddatum" queryTableFieldId="20" dataDxfId="72" totalsRowDxfId="74" dataCellStyle="Standaard 2"/>
    <tableColumn id="1" xr3:uid="{110A6271-7C80-4137-949B-E6DB2359986B}" uniqueName="1" name="GKVI" totalsRowFunction="count" queryTableFieldId="1" dataDxfId="71" totalsRowDxfId="75" dataCellStyle="Standaard 2"/>
    <tableColumn id="21" xr3:uid="{7802E2CF-F085-4C93-AD5C-D56F8AD610F8}" uniqueName="21" name="Ver.nr." queryTableFieldId="21" dataDxfId="70" totalsRowDxfId="76" dataCellStyle="Standaard 2"/>
    <tableColumn id="3" xr3:uid="{1860F804-C753-411A-9507-66D95E27BCD9}" uniqueName="3" name="Naam vereniging" queryTableFieldId="3" dataDxfId="69" totalsRowDxfId="77" dataCellStyle="Standaard 2"/>
    <tableColumn id="4" xr3:uid="{626EFE54-511D-4543-A27C-AC16A212F88E}" uniqueName="4" name="Korps klassiek senioren" totalsRowFunction="sum" queryTableFieldId="4" dataDxfId="68" totalsRowDxfId="78" dataCellStyle="Standaard 2"/>
    <tableColumn id="5" xr3:uid="{2C978935-C142-461D-9CAB-86BEDCACC1B6}" uniqueName="5" name="Korps 1 klassiek junioren" totalsRowFunction="sum" queryTableFieldId="35" dataDxfId="67" totalsRowDxfId="79" dataCellStyle="Standaard 2"/>
    <tableColumn id="6" xr3:uid="{32EB3BA3-0096-4E9C-82A9-0539D4EFE7C1}" uniqueName="6" name="Korps 2 klassiek junioren" totalsRowFunction="sum" queryTableFieldId="36" dataDxfId="66" totalsRowDxfId="80" dataCellStyle="Standaard 2"/>
    <tableColumn id="13" xr3:uid="{133B5693-EBB2-4DBA-A79B-067BCBBE2CE9}" uniqueName="13" name="Korps 1 klassiek aspiranten" totalsRowFunction="sum" queryTableFieldId="37" dataDxfId="65" totalsRowDxfId="81" dataCellStyle="Standaard 2"/>
    <tableColumn id="14" xr3:uid="{84B8959F-E520-4D80-BCD2-391D4D054680}" uniqueName="14" name="Korps 2 klassiek aspiranten" totalsRowFunction="sum" queryTableFieldId="38" dataDxfId="64" totalsRowDxfId="82" dataCellStyle="Standaard 2"/>
    <tableColumn id="7" xr3:uid="{D5298E7B-EDFA-41D8-87A2-617880C953B1}" uniqueName="7" name="Korps acrob. senioren" totalsRowFunction="sum" queryTableFieldId="7" dataDxfId="63" totalsRowDxfId="83" dataCellStyle="Standaard 2"/>
    <tableColumn id="8" xr3:uid="{D76DE73F-3A17-4720-BD3C-6D9627BA63D8}" uniqueName="8" name="Korps acrob. junioren" totalsRowFunction="sum" queryTableFieldId="8" dataDxfId="62" totalsRowDxfId="84" dataCellStyle="Standaard 2"/>
    <tableColumn id="9" xr3:uid="{F258AC41-9244-4703-868E-5F889D3C5505}" uniqueName="9" name="Korps acrob. aspiranten" totalsRowFunction="sum" queryTableFieldId="9" dataDxfId="61" totalsRowDxfId="85" dataCellStyle="Standaard 2"/>
    <tableColumn id="10" xr3:uid="{B2EFF584-BB62-458C-BEF7-6EA9FEA68AD4}" uniqueName="10" name="Korps show senioren" queryTableFieldId="10" dataDxfId="60" totalsRowDxfId="86" dataCellStyle="Standaard 2"/>
    <tableColumn id="11" xr3:uid="{E0FD80DD-A6C5-4CED-85D7-8B6A8E1C26D5}" uniqueName="11" name="Korps show junioren" totalsRowFunction="sum" queryTableFieldId="11" dataDxfId="59" totalsRowDxfId="87" dataCellStyle="Standaard 2"/>
    <tableColumn id="12" xr3:uid="{21F32278-BFBE-440E-AC5C-EAAB07CB64C3}" uniqueName="12" name="Korps show aspiranten" totalsRowFunction="sum" queryTableFieldId="12" dataDxfId="58" totalsRowDxfId="88" dataCellStyle="Standaard 2"/>
    <tableColumn id="22" xr3:uid="{0A53BF77-163C-445B-8BBF-383AC79C51B5}" uniqueName="22" name="Senioren" totalsRowFunction="sum" queryTableFieldId="23" dataDxfId="57" totalsRowDxfId="89" dataCellStyle="Standaard 2"/>
    <tableColumn id="23" xr3:uid="{F94B7E91-70F1-4FC0-8251-010921163934}" uniqueName="23" name="Junioren" totalsRowFunction="sum" queryTableFieldId="24" dataDxfId="56" totalsRowDxfId="90" dataCellStyle="Standaard 2"/>
    <tableColumn id="24" xr3:uid="{706CCAB4-C1B4-401B-B21B-6C5924F7A454}" uniqueName="24" name="Aspiranten" totalsRowFunction="sum" queryTableFieldId="25" dataDxfId="55" totalsRowDxfId="91" dataCellStyle="Standaard 2"/>
    <tableColumn id="17" xr3:uid="{B21C9857-A84D-4F88-9DEF-3CA88FC3CFE7}" uniqueName="17" name="Aantal deelnemers" totalsRowFunction="sum" queryTableFieldId="17" dataDxfId="54" totalsRowDxfId="92" dataCellStyle="Standaard 2"/>
    <tableColumn id="18" xr3:uid="{BF6C55CC-07B8-451D-9CB3-A16BF13790B6}" uniqueName="18" name="Hiervan is aspirant" totalsRowFunction="sum" queryTableFieldId="18" dataDxfId="53" totalsRowDxfId="93" dataCellStyle="Standaard 2"/>
    <tableColumn id="16" xr3:uid="{02E6C8C2-0C56-4DF9-8655-CA81BDE25E64}" uniqueName="16" name="Opmerkingen" queryTableFieldId="16" dataDxfId="52" totalsRowDxfId="94" dataCellStyle="Standaard 2"/>
    <tableColumn id="15" xr3:uid="{E8FF6363-88A2-4F78-B4E7-1746482BEFDB}" uniqueName="15" name="Date Updated" queryTableFieldId="39" dataDxfId="51" dataCellStyle="Standaard 2"/>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B9436B-5FFD-49AE-9ACB-2367BAA201D1}" name="Bielemantreffen_2" displayName="Bielemantreffen_2" ref="A5:K13" tableType="queryTable" totalsRowCount="1" headerRowDxfId="816">
  <autoFilter ref="A5:K12" xr:uid="{5DB9436B-5FFD-49AE-9ACB-2367BAA201D1}"/>
  <tableColumns count="11">
    <tableColumn id="3" xr3:uid="{5B3EE3F4-6AB4-4B63-B0B2-2C26C5F5B8B0}" uniqueName="3" name="BIEL" totalsRowLabel="Totaal" queryTableFieldId="3" dataDxfId="10" totalsRowDxfId="41"/>
    <tableColumn id="4" xr3:uid="{D2C17856-F0DB-4145-A428-42E1EBC056B4}" uniqueName="4" name="Ver.nr." queryTableFieldId="4" dataDxfId="9" totalsRowDxfId="42"/>
    <tableColumn id="5" xr3:uid="{638102D6-3D21-446C-9D8E-AF61BE00142F}" uniqueName="5" name="Naam vereniging" totalsRowFunction="count" queryTableFieldId="5" dataDxfId="8" totalsRowDxfId="43"/>
    <tableColumn id="6" xr3:uid="{E7CB2C54-ADFB-4FC6-9823-F9768057F974}" uniqueName="6" name="Senioren" totalsRowFunction="sum" queryTableFieldId="6" dataDxfId="7" totalsRowDxfId="44"/>
    <tableColumn id="72" xr3:uid="{11C6C24B-6F22-4B1C-BAE6-59C482B388B2}" uniqueName="72" name="Jong volwassene" totalsRowFunction="sum" queryTableFieldId="84" dataDxfId="6" totalsRowDxfId="45"/>
    <tableColumn id="7" xr3:uid="{19847D58-FE70-4311-93D8-514131D5B68A}" uniqueName="7" name="Junioren" totalsRowFunction="sum" queryTableFieldId="7" dataDxfId="5" totalsRowDxfId="46"/>
    <tableColumn id="8" xr3:uid="{CC6817C6-19FE-4F2A-8D25-3CCC027A9097}" uniqueName="8" name="Aspiranten" totalsRowFunction="sum" queryTableFieldId="8" dataDxfId="4" totalsRowDxfId="47"/>
    <tableColumn id="9" xr3:uid="{85B7013C-1632-47F7-8940-DB6F8462668C}" uniqueName="9" name="Opmerkingen/toelichting" queryTableFieldId="9" dataDxfId="3" totalsRowDxfId="48"/>
    <tableColumn id="1" xr3:uid="{BE6FFDA5-A18B-48C5-8896-2AF02E49029B}" uniqueName="1" name="Inzending-ID" queryTableFieldId="1" dataDxfId="2" totalsRowDxfId="49"/>
    <tableColumn id="2" xr3:uid="{EE2A5C99-9FF5-434A-8A91-052622DCB816}" uniqueName="2" name="Inzenddatum" queryTableFieldId="2" dataDxfId="1" totalsRowDxfId="50"/>
    <tableColumn id="10" xr3:uid="{9C4AF465-3B66-400C-9BE5-32A2532DF57D}" uniqueName="10" name="Date Updated" queryTableFieldId="87" dataDxfId="0"/>
  </tableColumns>
  <tableStyleInfo name="TableStyleMedium7"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7BAB-3485-4E29-90D6-492F584E3FD6}">
  <dimension ref="A1:CA109"/>
  <sheetViews>
    <sheetView zoomScaleNormal="100" workbookViewId="0">
      <pane xSplit="3" ySplit="6" topLeftCell="D7" activePane="bottomRight" state="frozen"/>
      <selection pane="topRight" activeCell="D1" sqref="D1"/>
      <selection pane="bottomLeft" activeCell="A7" sqref="A7"/>
      <selection pane="bottomRight" activeCell="C18" sqref="C18"/>
    </sheetView>
  </sheetViews>
  <sheetFormatPr baseColWidth="10" defaultColWidth="8.83203125" defaultRowHeight="15" x14ac:dyDescent="0.2"/>
  <cols>
    <col min="1" max="1" width="11.5" bestFit="1" customWidth="1"/>
    <col min="2" max="2" width="8.6640625" bestFit="1" customWidth="1"/>
    <col min="3" max="3" width="40.6640625" bestFit="1" customWidth="1"/>
    <col min="4" max="4" width="3.5" bestFit="1" customWidth="1"/>
    <col min="5" max="14" width="8.5" bestFit="1" customWidth="1"/>
    <col min="15" max="17" width="8.33203125" hidden="1" customWidth="1"/>
    <col min="18" max="19" width="8.5" style="71" bestFit="1" customWidth="1"/>
    <col min="20" max="43" width="8.5" bestFit="1" customWidth="1"/>
    <col min="44" max="44" width="8.5" style="61" bestFit="1" customWidth="1"/>
    <col min="45" max="52" width="8.5" bestFit="1" customWidth="1"/>
    <col min="53" max="53" width="23.6640625" style="70" bestFit="1" customWidth="1"/>
    <col min="54" max="54" width="15.83203125" bestFit="1" customWidth="1"/>
    <col min="55" max="56" width="15" bestFit="1" customWidth="1"/>
    <col min="57" max="57" width="40.6640625" bestFit="1" customWidth="1"/>
    <col min="58" max="58" width="23.83203125" bestFit="1" customWidth="1"/>
    <col min="59" max="59" width="30.6640625" bestFit="1" customWidth="1"/>
    <col min="60" max="60" width="30.5" bestFit="1" customWidth="1"/>
    <col min="61" max="61" width="12.83203125" bestFit="1" customWidth="1"/>
    <col min="62" max="62" width="17.83203125" bestFit="1" customWidth="1"/>
    <col min="63" max="71" width="8.5" bestFit="1" customWidth="1"/>
    <col min="72" max="72" width="28.6640625" bestFit="1" customWidth="1"/>
    <col min="73" max="73" width="26.33203125" bestFit="1" customWidth="1"/>
    <col min="74" max="74" width="22.83203125" bestFit="1" customWidth="1"/>
    <col min="75" max="75" width="8.5" bestFit="1" customWidth="1"/>
    <col min="76" max="76" width="15.6640625" style="1" bestFit="1" customWidth="1"/>
    <col min="77" max="77" width="21.33203125" style="1" bestFit="1" customWidth="1"/>
    <col min="78" max="79" width="9.33203125" bestFit="1" customWidth="1"/>
  </cols>
  <sheetData>
    <row r="1" spans="1:79" x14ac:dyDescent="0.2">
      <c r="AI1" t="s">
        <v>0</v>
      </c>
      <c r="AL1" s="2"/>
      <c r="AM1" s="2"/>
      <c r="AS1" s="1"/>
      <c r="AT1" s="1"/>
      <c r="BX1" s="33"/>
      <c r="BY1" s="33"/>
      <c r="BZ1" s="33"/>
      <c r="CA1" s="33"/>
    </row>
    <row r="2" spans="1:79" ht="16" thickBot="1" x14ac:dyDescent="0.25">
      <c r="AL2" s="2"/>
      <c r="AM2" s="2"/>
      <c r="AS2" s="1"/>
      <c r="AT2" s="1"/>
      <c r="BX2" s="33"/>
      <c r="BY2" s="33"/>
      <c r="BZ2" s="33"/>
      <c r="CA2" s="33"/>
    </row>
    <row r="3" spans="1:79" ht="16" thickBot="1" x14ac:dyDescent="0.25">
      <c r="A3" s="20"/>
      <c r="B3" s="21"/>
      <c r="C3" s="22"/>
      <c r="D3" s="133" t="s">
        <v>1</v>
      </c>
      <c r="E3" s="134"/>
      <c r="F3" s="134"/>
      <c r="G3" s="134"/>
      <c r="H3" s="135"/>
      <c r="I3" s="136" t="s">
        <v>2</v>
      </c>
      <c r="J3" s="137"/>
      <c r="K3" s="137"/>
      <c r="L3" s="137"/>
      <c r="M3" s="137"/>
      <c r="N3" s="137"/>
      <c r="O3" s="137"/>
      <c r="P3" s="137"/>
      <c r="Q3" s="137"/>
      <c r="R3" s="137"/>
      <c r="S3" s="137"/>
      <c r="T3" s="137"/>
      <c r="U3" s="137"/>
      <c r="V3" s="137"/>
      <c r="W3" s="137"/>
      <c r="X3" s="137"/>
      <c r="Y3" s="138"/>
      <c r="Z3" s="133" t="s">
        <v>3</v>
      </c>
      <c r="AA3" s="135"/>
      <c r="AB3" s="26" t="s">
        <v>4</v>
      </c>
      <c r="AC3" s="95" t="s">
        <v>5</v>
      </c>
      <c r="AD3" s="96"/>
      <c r="AE3" s="96"/>
      <c r="AF3" s="96"/>
      <c r="AG3" s="96"/>
      <c r="AH3" s="96"/>
      <c r="AI3" s="96"/>
      <c r="AJ3" s="97"/>
      <c r="AK3" s="26" t="s">
        <v>6</v>
      </c>
      <c r="AL3" s="133" t="s">
        <v>7</v>
      </c>
      <c r="AM3" s="134"/>
      <c r="AN3" s="134"/>
      <c r="AO3" s="134"/>
      <c r="AP3" s="134"/>
      <c r="AQ3" s="134"/>
      <c r="AR3" s="134"/>
      <c r="AS3" s="134"/>
      <c r="AT3" s="134"/>
      <c r="AU3" s="134"/>
      <c r="AV3" s="135"/>
      <c r="AW3" s="133" t="s">
        <v>8</v>
      </c>
      <c r="AX3" s="134"/>
      <c r="AY3" s="134"/>
      <c r="AZ3" s="134"/>
      <c r="BA3" s="134"/>
      <c r="BB3" s="134"/>
      <c r="BC3" s="134"/>
      <c r="BD3" s="135"/>
      <c r="BE3" s="136" t="s">
        <v>9</v>
      </c>
      <c r="BF3" s="137"/>
      <c r="BG3" s="137"/>
      <c r="BH3" s="137"/>
      <c r="BI3" s="137"/>
      <c r="BJ3" s="137"/>
      <c r="BK3" s="137"/>
      <c r="BL3" s="137"/>
      <c r="BM3" s="137"/>
      <c r="BN3" s="137"/>
      <c r="BO3" s="137"/>
      <c r="BP3" s="137"/>
      <c r="BQ3" s="137"/>
      <c r="BR3" s="137"/>
      <c r="BS3" s="139" t="s">
        <v>10</v>
      </c>
      <c r="BT3" s="140"/>
      <c r="BU3" s="140"/>
      <c r="BV3" s="140"/>
      <c r="BW3" s="141"/>
      <c r="BX3"/>
      <c r="BY3"/>
    </row>
    <row r="4" spans="1:79" ht="16" thickBot="1" x14ac:dyDescent="0.25">
      <c r="A4" s="23"/>
      <c r="B4" s="24"/>
      <c r="C4" s="25"/>
      <c r="D4" s="23"/>
      <c r="E4" s="24"/>
      <c r="F4" s="24"/>
      <c r="G4" s="24"/>
      <c r="H4" s="25"/>
      <c r="I4" s="88" t="s">
        <v>11</v>
      </c>
      <c r="J4" s="89"/>
      <c r="K4" s="89"/>
      <c r="L4" s="89"/>
      <c r="M4" s="90"/>
      <c r="N4" s="136" t="s">
        <v>88</v>
      </c>
      <c r="O4" s="137"/>
      <c r="P4" s="138"/>
      <c r="Q4" s="136" t="s">
        <v>13</v>
      </c>
      <c r="R4" s="137"/>
      <c r="S4" s="138"/>
      <c r="T4" s="136" t="s">
        <v>14</v>
      </c>
      <c r="U4" s="137"/>
      <c r="V4" s="137"/>
      <c r="W4" s="137"/>
      <c r="X4" s="137"/>
      <c r="Y4" s="138"/>
      <c r="Z4" s="23"/>
      <c r="AA4" s="25"/>
      <c r="AB4" s="27"/>
      <c r="AC4" s="23"/>
      <c r="AD4" s="24"/>
      <c r="AE4" s="24"/>
      <c r="AF4" s="24"/>
      <c r="AG4" s="24"/>
      <c r="AH4" s="24"/>
      <c r="AI4" s="24"/>
      <c r="AJ4" s="25"/>
      <c r="AK4" s="27"/>
      <c r="AL4" s="23"/>
      <c r="AM4" s="24"/>
      <c r="AN4" s="24"/>
      <c r="AO4" s="24"/>
      <c r="AP4" s="24"/>
      <c r="AQ4" s="24"/>
      <c r="AR4" s="24"/>
      <c r="AS4" s="24"/>
      <c r="AT4" s="24"/>
      <c r="AU4" s="24"/>
      <c r="AV4" s="25"/>
      <c r="AW4" s="23"/>
      <c r="AX4" s="24"/>
      <c r="AY4" s="24"/>
      <c r="AZ4" s="24"/>
      <c r="BA4" s="108"/>
      <c r="BB4" s="24"/>
      <c r="BC4" s="24"/>
      <c r="BD4" s="25"/>
      <c r="BE4" s="136" t="s">
        <v>15</v>
      </c>
      <c r="BF4" s="137"/>
      <c r="BG4" s="137"/>
      <c r="BH4" s="137"/>
      <c r="BI4" s="137"/>
      <c r="BJ4" s="137"/>
      <c r="BK4" s="138"/>
      <c r="BL4" s="136" t="s">
        <v>16</v>
      </c>
      <c r="BM4" s="137"/>
      <c r="BN4" s="137"/>
      <c r="BO4" s="137"/>
      <c r="BP4" s="137"/>
      <c r="BQ4" s="137"/>
      <c r="BR4" s="138"/>
      <c r="BS4" s="136"/>
      <c r="BT4" s="137"/>
      <c r="BU4" s="137"/>
      <c r="BV4" s="137"/>
      <c r="BW4" s="138"/>
      <c r="BX4"/>
      <c r="BY4"/>
    </row>
    <row r="5" spans="1:79" ht="6.75" customHeight="1" thickBot="1" x14ac:dyDescent="0.25">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63"/>
      <c r="AS5" s="1"/>
      <c r="AT5" s="1"/>
      <c r="AU5" s="1"/>
      <c r="AV5" s="1"/>
      <c r="AW5" s="1"/>
      <c r="AX5" s="1"/>
      <c r="AY5" s="1"/>
      <c r="AZ5" s="1"/>
      <c r="BB5" s="1"/>
      <c r="BC5" s="1"/>
      <c r="BD5" s="1"/>
      <c r="BE5" s="1"/>
      <c r="BF5" s="1"/>
      <c r="BG5" s="1"/>
      <c r="BH5" s="1"/>
      <c r="BI5" s="1"/>
      <c r="BJ5" s="1"/>
      <c r="BK5" s="1"/>
      <c r="BL5" s="1"/>
      <c r="BM5" s="1"/>
      <c r="BN5" s="1"/>
      <c r="BO5" s="1"/>
      <c r="BP5" s="1"/>
      <c r="BQ5" s="1"/>
      <c r="BR5" s="1"/>
      <c r="BS5" s="1"/>
      <c r="BT5" s="1"/>
      <c r="BU5" s="1"/>
      <c r="BV5" s="1"/>
      <c r="BW5" s="1"/>
      <c r="BZ5" s="1"/>
      <c r="CA5" s="1"/>
    </row>
    <row r="6" spans="1:79" s="2" customFormat="1" ht="218" thickBot="1" x14ac:dyDescent="0.25">
      <c r="A6" s="77" t="s">
        <v>17</v>
      </c>
      <c r="B6" s="7" t="s">
        <v>18</v>
      </c>
      <c r="C6" s="8" t="s">
        <v>19</v>
      </c>
      <c r="D6" s="78" t="s">
        <v>20</v>
      </c>
      <c r="E6" s="10" t="s">
        <v>21</v>
      </c>
      <c r="F6" s="10" t="s">
        <v>22</v>
      </c>
      <c r="G6" s="10" t="s">
        <v>23</v>
      </c>
      <c r="H6" s="10" t="s">
        <v>24</v>
      </c>
      <c r="I6" s="9" t="s">
        <v>25</v>
      </c>
      <c r="J6" s="10" t="s">
        <v>126</v>
      </c>
      <c r="K6" s="10" t="s">
        <v>127</v>
      </c>
      <c r="L6" s="10" t="s">
        <v>128</v>
      </c>
      <c r="M6" s="11" t="s">
        <v>129</v>
      </c>
      <c r="N6" s="10" t="s">
        <v>26</v>
      </c>
      <c r="O6" s="10" t="s">
        <v>27</v>
      </c>
      <c r="P6" s="11" t="s">
        <v>28</v>
      </c>
      <c r="Q6" s="9" t="s">
        <v>29</v>
      </c>
      <c r="R6" s="10" t="s">
        <v>30</v>
      </c>
      <c r="S6" s="11" t="s">
        <v>31</v>
      </c>
      <c r="T6" s="9" t="s">
        <v>32</v>
      </c>
      <c r="U6" s="10" t="s">
        <v>33</v>
      </c>
      <c r="V6" s="10" t="s">
        <v>34</v>
      </c>
      <c r="W6" s="12" t="s">
        <v>35</v>
      </c>
      <c r="X6" s="12" t="s">
        <v>36</v>
      </c>
      <c r="Y6" s="13" t="s">
        <v>37</v>
      </c>
      <c r="Z6" s="9" t="s">
        <v>15</v>
      </c>
      <c r="AA6" s="11" t="s">
        <v>16</v>
      </c>
      <c r="AB6" s="10" t="s">
        <v>110</v>
      </c>
      <c r="AC6" s="9" t="s">
        <v>38</v>
      </c>
      <c r="AD6" s="10" t="s">
        <v>111</v>
      </c>
      <c r="AE6" s="10" t="s">
        <v>39</v>
      </c>
      <c r="AF6" s="10" t="s">
        <v>40</v>
      </c>
      <c r="AG6" s="12" t="s">
        <v>112</v>
      </c>
      <c r="AH6" s="12" t="s">
        <v>113</v>
      </c>
      <c r="AI6" s="12" t="s">
        <v>114</v>
      </c>
      <c r="AJ6" s="13" t="s">
        <v>115</v>
      </c>
      <c r="AK6" s="11" t="s">
        <v>41</v>
      </c>
      <c r="AL6" s="9" t="s">
        <v>42</v>
      </c>
      <c r="AM6" s="12" t="s">
        <v>122</v>
      </c>
      <c r="AN6" s="10" t="s">
        <v>43</v>
      </c>
      <c r="AO6" s="12" t="s">
        <v>123</v>
      </c>
      <c r="AP6" s="10" t="s">
        <v>45</v>
      </c>
      <c r="AQ6" s="12" t="s">
        <v>124</v>
      </c>
      <c r="AR6" s="10" t="s">
        <v>44</v>
      </c>
      <c r="AS6" s="12" t="s">
        <v>125</v>
      </c>
      <c r="AT6" s="10" t="s">
        <v>116</v>
      </c>
      <c r="AU6" s="10" t="s">
        <v>117</v>
      </c>
      <c r="AV6" s="12" t="s">
        <v>118</v>
      </c>
      <c r="AW6" s="10" t="s">
        <v>46</v>
      </c>
      <c r="AX6" s="10" t="s">
        <v>47</v>
      </c>
      <c r="AY6" s="10" t="s">
        <v>48</v>
      </c>
      <c r="AZ6" s="10" t="s">
        <v>49</v>
      </c>
      <c r="BA6" s="109" t="s">
        <v>50</v>
      </c>
      <c r="BB6" s="24" t="s">
        <v>51</v>
      </c>
      <c r="BC6" s="11" t="s">
        <v>52</v>
      </c>
      <c r="BD6" s="11" t="s">
        <v>108</v>
      </c>
      <c r="BE6" s="9" t="s">
        <v>53</v>
      </c>
      <c r="BF6" s="10" t="s">
        <v>54</v>
      </c>
      <c r="BG6" s="10" t="s">
        <v>55</v>
      </c>
      <c r="BH6" s="10" t="s">
        <v>56</v>
      </c>
      <c r="BI6" s="10" t="s">
        <v>57</v>
      </c>
      <c r="BJ6" s="10" t="s">
        <v>58</v>
      </c>
      <c r="BK6" s="11" t="s">
        <v>59</v>
      </c>
      <c r="BL6" s="9" t="s">
        <v>60</v>
      </c>
      <c r="BM6" s="10" t="s">
        <v>61</v>
      </c>
      <c r="BN6" s="10" t="s">
        <v>62</v>
      </c>
      <c r="BO6" s="10" t="s">
        <v>63</v>
      </c>
      <c r="BP6" s="10" t="s">
        <v>64</v>
      </c>
      <c r="BQ6" s="10" t="s">
        <v>65</v>
      </c>
      <c r="BR6" s="11" t="s">
        <v>66</v>
      </c>
      <c r="BS6" s="10" t="s">
        <v>70</v>
      </c>
      <c r="BT6" s="9" t="s">
        <v>67</v>
      </c>
      <c r="BU6" s="10" t="s">
        <v>68</v>
      </c>
      <c r="BV6" s="10" t="s">
        <v>69</v>
      </c>
      <c r="BW6" s="11" t="s">
        <v>71</v>
      </c>
    </row>
    <row r="7" spans="1:79" ht="48" x14ac:dyDescent="0.2">
      <c r="A7" s="168" t="s">
        <v>167</v>
      </c>
      <c r="B7" s="168" t="s">
        <v>231</v>
      </c>
      <c r="C7" s="168" t="s">
        <v>232</v>
      </c>
      <c r="D7" s="169" t="s">
        <v>73</v>
      </c>
      <c r="E7" s="169" t="s">
        <v>72</v>
      </c>
      <c r="F7" s="169" t="s">
        <v>72</v>
      </c>
      <c r="G7" s="169" t="s">
        <v>73</v>
      </c>
      <c r="H7" s="169"/>
      <c r="I7" s="169">
        <v>10</v>
      </c>
      <c r="N7" s="169"/>
      <c r="O7" s="169"/>
      <c r="P7" s="169"/>
      <c r="Q7" s="169" t="s">
        <v>73</v>
      </c>
      <c r="R7" s="169" t="s">
        <v>73</v>
      </c>
      <c r="S7" s="169" t="s">
        <v>73</v>
      </c>
      <c r="T7" s="79"/>
      <c r="U7" s="79"/>
      <c r="V7" s="1"/>
      <c r="W7" s="1"/>
      <c r="X7" s="1"/>
      <c r="Y7" s="1"/>
      <c r="Z7" s="169" t="s">
        <v>73</v>
      </c>
      <c r="AA7" s="169" t="s">
        <v>73</v>
      </c>
      <c r="AC7" s="1">
        <v>5</v>
      </c>
      <c r="AE7" s="1"/>
      <c r="AF7" s="1"/>
      <c r="AG7">
        <v>5</v>
      </c>
      <c r="AK7" s="169" t="s">
        <v>73</v>
      </c>
      <c r="AL7" s="169" t="s">
        <v>73</v>
      </c>
      <c r="AN7" s="169" t="s">
        <v>73</v>
      </c>
      <c r="AP7" s="169" t="s">
        <v>73</v>
      </c>
      <c r="AR7" s="169" t="s">
        <v>73</v>
      </c>
      <c r="AT7" s="168" t="s">
        <v>73</v>
      </c>
      <c r="AW7" s="1">
        <v>70</v>
      </c>
      <c r="AX7" s="1">
        <v>5</v>
      </c>
      <c r="AY7" s="169" t="s">
        <v>72</v>
      </c>
      <c r="AZ7" s="169" t="s">
        <v>73</v>
      </c>
      <c r="BA7" s="170" t="s">
        <v>233</v>
      </c>
      <c r="BB7" s="169">
        <v>1872</v>
      </c>
      <c r="BC7" s="102">
        <v>45645.466805555552</v>
      </c>
      <c r="BD7" s="87">
        <v>45645.425138888888</v>
      </c>
      <c r="BE7" s="169" t="s">
        <v>73</v>
      </c>
      <c r="BF7" s="169" t="s">
        <v>73</v>
      </c>
      <c r="BG7" s="169" t="s">
        <v>73</v>
      </c>
      <c r="BH7" s="169" t="s">
        <v>73</v>
      </c>
      <c r="BI7" s="169" t="s">
        <v>73</v>
      </c>
      <c r="BJ7" s="169" t="s">
        <v>73</v>
      </c>
      <c r="BK7" s="169"/>
      <c r="BL7" s="169" t="s">
        <v>73</v>
      </c>
      <c r="BM7" s="169" t="s">
        <v>73</v>
      </c>
      <c r="BN7" s="169" t="s">
        <v>73</v>
      </c>
      <c r="BO7" s="169" t="s">
        <v>73</v>
      </c>
      <c r="BP7" s="169" t="s">
        <v>73</v>
      </c>
      <c r="BQ7" s="169" t="s">
        <v>73</v>
      </c>
      <c r="BR7" s="1"/>
      <c r="BS7" s="169" t="s">
        <v>73</v>
      </c>
      <c r="BT7" s="169" t="s">
        <v>73</v>
      </c>
      <c r="BU7" s="169" t="s">
        <v>73</v>
      </c>
      <c r="BV7" s="169" t="s">
        <v>73</v>
      </c>
      <c r="BW7" s="1"/>
      <c r="BX7"/>
      <c r="BY7"/>
    </row>
    <row r="8" spans="1:79" ht="16" x14ac:dyDescent="0.2">
      <c r="A8" s="168" t="s">
        <v>167</v>
      </c>
      <c r="B8" s="168" t="s">
        <v>203</v>
      </c>
      <c r="C8" s="168" t="s">
        <v>204</v>
      </c>
      <c r="D8" s="169" t="s">
        <v>73</v>
      </c>
      <c r="E8" s="169" t="s">
        <v>72</v>
      </c>
      <c r="F8" s="169" t="s">
        <v>73</v>
      </c>
      <c r="G8" s="169" t="s">
        <v>73</v>
      </c>
      <c r="H8" s="169"/>
      <c r="I8" s="169"/>
      <c r="N8" s="169"/>
      <c r="O8" s="169"/>
      <c r="P8" s="169"/>
      <c r="Q8" s="169" t="s">
        <v>73</v>
      </c>
      <c r="R8" s="169" t="s">
        <v>73</v>
      </c>
      <c r="S8" s="169" t="s">
        <v>73</v>
      </c>
      <c r="T8" s="79"/>
      <c r="U8" s="79"/>
      <c r="V8" s="1"/>
      <c r="W8" s="1"/>
      <c r="X8" s="1"/>
      <c r="Y8" s="1"/>
      <c r="Z8" s="169" t="s">
        <v>73</v>
      </c>
      <c r="AA8" s="169" t="s">
        <v>73</v>
      </c>
      <c r="AC8" s="1"/>
      <c r="AE8" s="1"/>
      <c r="AF8" s="1"/>
      <c r="AK8" s="169" t="s">
        <v>73</v>
      </c>
      <c r="AL8" s="169" t="s">
        <v>73</v>
      </c>
      <c r="AN8" s="169" t="s">
        <v>73</v>
      </c>
      <c r="AP8" s="169" t="s">
        <v>73</v>
      </c>
      <c r="AR8" s="169" t="s">
        <v>73</v>
      </c>
      <c r="AT8" s="168" t="s">
        <v>73</v>
      </c>
      <c r="AW8" s="1">
        <v>55</v>
      </c>
      <c r="AX8" s="1">
        <v>2</v>
      </c>
      <c r="AY8" s="169" t="s">
        <v>72</v>
      </c>
      <c r="AZ8" s="169" t="s">
        <v>73</v>
      </c>
      <c r="BA8" s="170" t="s">
        <v>73</v>
      </c>
      <c r="BB8" s="169">
        <v>1842</v>
      </c>
      <c r="BC8" s="102">
        <v>45642.662719907406</v>
      </c>
      <c r="BD8" s="87">
        <v>45642.621053240742</v>
      </c>
      <c r="BE8" s="169" t="s">
        <v>73</v>
      </c>
      <c r="BF8" s="169" t="s">
        <v>73</v>
      </c>
      <c r="BG8" s="169" t="s">
        <v>73</v>
      </c>
      <c r="BH8" s="169" t="s">
        <v>73</v>
      </c>
      <c r="BI8" s="169" t="s">
        <v>73</v>
      </c>
      <c r="BJ8" s="169" t="s">
        <v>73</v>
      </c>
      <c r="BK8" s="169"/>
      <c r="BL8" s="169" t="s">
        <v>73</v>
      </c>
      <c r="BM8" s="169" t="s">
        <v>73</v>
      </c>
      <c r="BN8" s="169" t="s">
        <v>73</v>
      </c>
      <c r="BO8" s="169" t="s">
        <v>73</v>
      </c>
      <c r="BP8" s="169" t="s">
        <v>73</v>
      </c>
      <c r="BQ8" s="169" t="s">
        <v>73</v>
      </c>
      <c r="BR8" s="1"/>
      <c r="BS8" s="169" t="s">
        <v>73</v>
      </c>
      <c r="BT8" s="169" t="s">
        <v>73</v>
      </c>
      <c r="BU8" s="169" t="s">
        <v>73</v>
      </c>
      <c r="BV8" s="169" t="s">
        <v>73</v>
      </c>
      <c r="BW8" s="1"/>
      <c r="BX8"/>
      <c r="BY8"/>
    </row>
    <row r="9" spans="1:79" ht="16" x14ac:dyDescent="0.2">
      <c r="A9" s="168" t="s">
        <v>167</v>
      </c>
      <c r="B9" s="168" t="s">
        <v>153</v>
      </c>
      <c r="C9" s="168" t="s">
        <v>154</v>
      </c>
      <c r="D9" s="169" t="s">
        <v>73</v>
      </c>
      <c r="E9" s="169" t="s">
        <v>72</v>
      </c>
      <c r="F9" s="169" t="s">
        <v>72</v>
      </c>
      <c r="G9" s="169" t="s">
        <v>73</v>
      </c>
      <c r="H9" s="169"/>
      <c r="I9" s="169">
        <v>14</v>
      </c>
      <c r="N9" s="169">
        <v>6</v>
      </c>
      <c r="O9" s="169"/>
      <c r="P9" s="169"/>
      <c r="Q9" s="169" t="s">
        <v>73</v>
      </c>
      <c r="R9" s="169" t="s">
        <v>73</v>
      </c>
      <c r="S9" s="169" t="s">
        <v>73</v>
      </c>
      <c r="T9" s="79">
        <v>5</v>
      </c>
      <c r="U9" s="79"/>
      <c r="V9" s="1"/>
      <c r="W9" s="1">
        <v>5</v>
      </c>
      <c r="X9" s="1"/>
      <c r="Y9" s="1"/>
      <c r="Z9" s="169" t="s">
        <v>73</v>
      </c>
      <c r="AA9" s="169" t="s">
        <v>73</v>
      </c>
      <c r="AC9" s="1">
        <v>5</v>
      </c>
      <c r="AE9" s="1"/>
      <c r="AF9" s="1"/>
      <c r="AG9">
        <v>5</v>
      </c>
      <c r="AK9" s="169" t="s">
        <v>73</v>
      </c>
      <c r="AL9" s="169" t="s">
        <v>73</v>
      </c>
      <c r="AN9" s="169" t="s">
        <v>73</v>
      </c>
      <c r="AP9" s="169" t="s">
        <v>73</v>
      </c>
      <c r="AR9" s="169" t="s">
        <v>73</v>
      </c>
      <c r="AT9" s="168" t="s">
        <v>73</v>
      </c>
      <c r="AW9" s="1">
        <v>50</v>
      </c>
      <c r="AX9" s="1">
        <v>10</v>
      </c>
      <c r="AY9" s="169" t="s">
        <v>72</v>
      </c>
      <c r="AZ9" s="169" t="s">
        <v>73</v>
      </c>
      <c r="BA9" s="170" t="s">
        <v>73</v>
      </c>
      <c r="BB9" s="169">
        <v>1837</v>
      </c>
      <c r="BC9" s="102">
        <v>45641.532141203701</v>
      </c>
      <c r="BD9" s="87">
        <v>45641.490474537037</v>
      </c>
      <c r="BE9" s="169" t="s">
        <v>73</v>
      </c>
      <c r="BF9" s="169" t="s">
        <v>73</v>
      </c>
      <c r="BG9" s="169" t="s">
        <v>73</v>
      </c>
      <c r="BH9" s="169" t="s">
        <v>73</v>
      </c>
      <c r="BI9" s="169" t="s">
        <v>73</v>
      </c>
      <c r="BJ9" s="169" t="s">
        <v>73</v>
      </c>
      <c r="BK9" s="169"/>
      <c r="BL9" s="169" t="s">
        <v>73</v>
      </c>
      <c r="BM9" s="169" t="s">
        <v>73</v>
      </c>
      <c r="BN9" s="169" t="s">
        <v>73</v>
      </c>
      <c r="BO9" s="169" t="s">
        <v>73</v>
      </c>
      <c r="BP9" s="169" t="s">
        <v>73</v>
      </c>
      <c r="BQ9" s="169" t="s">
        <v>73</v>
      </c>
      <c r="BR9" s="1"/>
      <c r="BS9" s="169" t="s">
        <v>73</v>
      </c>
      <c r="BT9" s="169" t="s">
        <v>73</v>
      </c>
      <c r="BU9" s="169" t="s">
        <v>73</v>
      </c>
      <c r="BV9" s="169" t="s">
        <v>73</v>
      </c>
      <c r="BW9" s="1"/>
      <c r="BX9"/>
      <c r="BY9"/>
    </row>
    <row r="10" spans="1:79" ht="16" x14ac:dyDescent="0.2">
      <c r="A10" s="168" t="s">
        <v>167</v>
      </c>
      <c r="B10" s="168" t="s">
        <v>186</v>
      </c>
      <c r="C10" s="168" t="s">
        <v>187</v>
      </c>
      <c r="D10" s="169" t="s">
        <v>73</v>
      </c>
      <c r="E10" s="169" t="s">
        <v>72</v>
      </c>
      <c r="F10" s="169" t="s">
        <v>73</v>
      </c>
      <c r="G10" s="169" t="s">
        <v>72</v>
      </c>
      <c r="H10" s="169" t="s">
        <v>74</v>
      </c>
      <c r="I10" s="169">
        <v>7</v>
      </c>
      <c r="N10" s="169"/>
      <c r="O10" s="169"/>
      <c r="P10" s="169"/>
      <c r="Q10" s="169" t="s">
        <v>73</v>
      </c>
      <c r="R10" s="169" t="s">
        <v>73</v>
      </c>
      <c r="S10" s="169" t="s">
        <v>73</v>
      </c>
      <c r="T10" s="79"/>
      <c r="U10" s="79"/>
      <c r="V10" s="1"/>
      <c r="W10" s="1">
        <v>1</v>
      </c>
      <c r="X10" s="1"/>
      <c r="Y10" s="1"/>
      <c r="Z10" s="169" t="s">
        <v>73</v>
      </c>
      <c r="AA10" s="169" t="s">
        <v>73</v>
      </c>
      <c r="AB10">
        <v>4</v>
      </c>
      <c r="AC10" s="1">
        <v>5</v>
      </c>
      <c r="AE10" s="1"/>
      <c r="AF10" s="1"/>
      <c r="AG10">
        <v>4</v>
      </c>
      <c r="AK10" s="169" t="s">
        <v>73</v>
      </c>
      <c r="AL10" s="169" t="s">
        <v>73</v>
      </c>
      <c r="AN10" s="169" t="s">
        <v>73</v>
      </c>
      <c r="AP10" s="169" t="s">
        <v>73</v>
      </c>
      <c r="AR10" s="169" t="s">
        <v>73</v>
      </c>
      <c r="AT10" s="168" t="s">
        <v>73</v>
      </c>
      <c r="AW10" s="1">
        <v>90</v>
      </c>
      <c r="AX10" s="1">
        <v>20</v>
      </c>
      <c r="AY10" s="169" t="s">
        <v>72</v>
      </c>
      <c r="AZ10" s="169" t="s">
        <v>73</v>
      </c>
      <c r="BA10" s="170" t="s">
        <v>73</v>
      </c>
      <c r="BB10" s="169">
        <v>1835</v>
      </c>
      <c r="BC10" s="102">
        <v>45639.889189814814</v>
      </c>
      <c r="BD10" s="87">
        <v>45639.84752314815</v>
      </c>
      <c r="BE10" s="169" t="s">
        <v>73</v>
      </c>
      <c r="BF10" s="169" t="s">
        <v>73</v>
      </c>
      <c r="BG10" s="169" t="s">
        <v>73</v>
      </c>
      <c r="BH10" s="169" t="s">
        <v>73</v>
      </c>
      <c r="BI10" s="169" t="s">
        <v>73</v>
      </c>
      <c r="BJ10" s="169" t="s">
        <v>73</v>
      </c>
      <c r="BK10" s="169"/>
      <c r="BL10" s="169" t="s">
        <v>73</v>
      </c>
      <c r="BM10" s="169" t="s">
        <v>73</v>
      </c>
      <c r="BN10" s="169" t="s">
        <v>73</v>
      </c>
      <c r="BO10" s="169" t="s">
        <v>73</v>
      </c>
      <c r="BP10" s="169" t="s">
        <v>73</v>
      </c>
      <c r="BQ10" s="169" t="s">
        <v>73</v>
      </c>
      <c r="BR10" s="1"/>
      <c r="BS10" s="169" t="s">
        <v>75</v>
      </c>
      <c r="BT10" s="169" t="s">
        <v>188</v>
      </c>
      <c r="BU10" s="169" t="s">
        <v>189</v>
      </c>
      <c r="BV10" s="169" t="s">
        <v>190</v>
      </c>
      <c r="BW10" s="1">
        <v>8</v>
      </c>
      <c r="BX10"/>
      <c r="BY10"/>
    </row>
    <row r="11" spans="1:79" ht="16" x14ac:dyDescent="0.2">
      <c r="A11" s="168" t="s">
        <v>167</v>
      </c>
      <c r="B11" s="168" t="s">
        <v>172</v>
      </c>
      <c r="C11" s="168" t="s">
        <v>168</v>
      </c>
      <c r="D11" s="169" t="s">
        <v>73</v>
      </c>
      <c r="E11" s="169" t="s">
        <v>72</v>
      </c>
      <c r="F11" s="169" t="s">
        <v>72</v>
      </c>
      <c r="G11" s="169" t="s">
        <v>73</v>
      </c>
      <c r="H11" s="169" t="s">
        <v>72</v>
      </c>
      <c r="I11" s="169">
        <v>10</v>
      </c>
      <c r="J11">
        <v>3</v>
      </c>
      <c r="L11">
        <v>7</v>
      </c>
      <c r="N11" s="169"/>
      <c r="O11" s="169"/>
      <c r="P11" s="169"/>
      <c r="Q11" s="169" t="s">
        <v>73</v>
      </c>
      <c r="R11" s="169" t="s">
        <v>73</v>
      </c>
      <c r="S11" s="169" t="s">
        <v>73</v>
      </c>
      <c r="T11" s="79"/>
      <c r="U11" s="79"/>
      <c r="V11" s="1"/>
      <c r="W11" s="1"/>
      <c r="X11" s="1"/>
      <c r="Y11" s="1"/>
      <c r="Z11" s="169" t="s">
        <v>73</v>
      </c>
      <c r="AA11" s="169" t="s">
        <v>73</v>
      </c>
      <c r="AB11">
        <v>1</v>
      </c>
      <c r="AC11" s="1">
        <v>11</v>
      </c>
      <c r="AE11" s="1"/>
      <c r="AF11" s="1">
        <v>4</v>
      </c>
      <c r="AG11">
        <v>11</v>
      </c>
      <c r="AJ11">
        <v>4</v>
      </c>
      <c r="AK11" s="169" t="s">
        <v>73</v>
      </c>
      <c r="AL11" s="169" t="s">
        <v>73</v>
      </c>
      <c r="AN11" s="169" t="s">
        <v>73</v>
      </c>
      <c r="AP11" s="169" t="s">
        <v>73</v>
      </c>
      <c r="AR11" s="169" t="s">
        <v>73</v>
      </c>
      <c r="AT11" s="168" t="s">
        <v>73</v>
      </c>
      <c r="AW11" s="1">
        <v>105</v>
      </c>
      <c r="AX11" s="1">
        <v>26</v>
      </c>
      <c r="AY11" s="169" t="s">
        <v>73</v>
      </c>
      <c r="AZ11" s="169" t="s">
        <v>73</v>
      </c>
      <c r="BA11" s="170" t="s">
        <v>73</v>
      </c>
      <c r="BB11" s="169">
        <v>1832</v>
      </c>
      <c r="BC11" s="102">
        <v>45639.39634259259</v>
      </c>
      <c r="BD11" s="87">
        <v>45639.354675925926</v>
      </c>
      <c r="BE11" s="169" t="s">
        <v>73</v>
      </c>
      <c r="BF11" s="169" t="s">
        <v>73</v>
      </c>
      <c r="BG11" s="169" t="s">
        <v>73</v>
      </c>
      <c r="BH11" s="169" t="s">
        <v>73</v>
      </c>
      <c r="BI11" s="169" t="s">
        <v>73</v>
      </c>
      <c r="BJ11" s="169" t="s">
        <v>73</v>
      </c>
      <c r="BK11" s="169"/>
      <c r="BL11" s="169" t="s">
        <v>73</v>
      </c>
      <c r="BM11" s="169" t="s">
        <v>73</v>
      </c>
      <c r="BN11" s="169" t="s">
        <v>73</v>
      </c>
      <c r="BO11" s="169" t="s">
        <v>73</v>
      </c>
      <c r="BP11" s="169" t="s">
        <v>73</v>
      </c>
      <c r="BQ11" s="169" t="s">
        <v>73</v>
      </c>
      <c r="BR11" s="1"/>
      <c r="BS11" s="169" t="s">
        <v>169</v>
      </c>
      <c r="BT11" s="169" t="s">
        <v>196</v>
      </c>
      <c r="BU11" s="169" t="s">
        <v>197</v>
      </c>
      <c r="BV11" s="169" t="s">
        <v>198</v>
      </c>
      <c r="BW11" s="1">
        <v>16</v>
      </c>
      <c r="BX11"/>
      <c r="BY11"/>
    </row>
    <row r="12" spans="1:79" ht="16" x14ac:dyDescent="0.2">
      <c r="A12" s="168" t="s">
        <v>134</v>
      </c>
      <c r="B12" s="168" t="s">
        <v>234</v>
      </c>
      <c r="C12" s="168" t="s">
        <v>235</v>
      </c>
      <c r="D12" s="169" t="s">
        <v>73</v>
      </c>
      <c r="E12" s="169" t="s">
        <v>72</v>
      </c>
      <c r="F12" s="169" t="s">
        <v>73</v>
      </c>
      <c r="G12" s="169" t="s">
        <v>73</v>
      </c>
      <c r="H12" s="169"/>
      <c r="I12" s="169">
        <v>16</v>
      </c>
      <c r="N12" s="169"/>
      <c r="O12" s="169"/>
      <c r="P12" s="169"/>
      <c r="Q12" s="169" t="s">
        <v>73</v>
      </c>
      <c r="R12" s="169" t="s">
        <v>73</v>
      </c>
      <c r="S12" s="169" t="s">
        <v>73</v>
      </c>
      <c r="T12" s="79"/>
      <c r="U12" s="79"/>
      <c r="V12" s="1"/>
      <c r="W12" s="1"/>
      <c r="X12" s="1"/>
      <c r="Y12" s="1"/>
      <c r="Z12" s="169" t="s">
        <v>73</v>
      </c>
      <c r="AA12" s="169" t="s">
        <v>73</v>
      </c>
      <c r="AC12" s="1">
        <v>5</v>
      </c>
      <c r="AE12" s="1"/>
      <c r="AF12" s="1"/>
      <c r="AG12">
        <v>5</v>
      </c>
      <c r="AK12" s="169" t="s">
        <v>73</v>
      </c>
      <c r="AL12" s="169" t="s">
        <v>72</v>
      </c>
      <c r="AM12">
        <v>5</v>
      </c>
      <c r="AN12" s="169" t="s">
        <v>72</v>
      </c>
      <c r="AO12">
        <v>5</v>
      </c>
      <c r="AP12" s="169" t="s">
        <v>73</v>
      </c>
      <c r="AR12" s="169" t="s">
        <v>72</v>
      </c>
      <c r="AS12">
        <v>5</v>
      </c>
      <c r="AT12" s="168" t="s">
        <v>73</v>
      </c>
      <c r="AW12" s="1">
        <v>100</v>
      </c>
      <c r="AX12" s="1">
        <v>8</v>
      </c>
      <c r="AY12" s="169" t="s">
        <v>72</v>
      </c>
      <c r="AZ12" s="169" t="s">
        <v>72</v>
      </c>
      <c r="BA12" s="170" t="s">
        <v>73</v>
      </c>
      <c r="BB12" s="169">
        <v>1876</v>
      </c>
      <c r="BC12" s="102">
        <v>45646.477731481478</v>
      </c>
      <c r="BD12" s="87">
        <v>45646.436064814814</v>
      </c>
      <c r="BE12" s="169" t="s">
        <v>73</v>
      </c>
      <c r="BF12" s="169" t="s">
        <v>73</v>
      </c>
      <c r="BG12" s="169" t="s">
        <v>73</v>
      </c>
      <c r="BH12" s="169" t="s">
        <v>73</v>
      </c>
      <c r="BI12" s="169" t="s">
        <v>73</v>
      </c>
      <c r="BJ12" s="169" t="s">
        <v>73</v>
      </c>
      <c r="BK12" s="169"/>
      <c r="BL12" s="169" t="s">
        <v>73</v>
      </c>
      <c r="BM12" s="169" t="s">
        <v>73</v>
      </c>
      <c r="BN12" s="169" t="s">
        <v>73</v>
      </c>
      <c r="BO12" s="169" t="s">
        <v>73</v>
      </c>
      <c r="BP12" s="169" t="s">
        <v>73</v>
      </c>
      <c r="BQ12" s="169" t="s">
        <v>73</v>
      </c>
      <c r="BR12" s="1"/>
      <c r="BS12" s="169" t="s">
        <v>73</v>
      </c>
      <c r="BT12" s="169" t="s">
        <v>73</v>
      </c>
      <c r="BU12" s="169" t="s">
        <v>73</v>
      </c>
      <c r="BV12" s="169" t="s">
        <v>73</v>
      </c>
      <c r="BW12" s="1"/>
      <c r="BX12"/>
      <c r="BY12"/>
    </row>
    <row r="13" spans="1:79" ht="16" x14ac:dyDescent="0.2">
      <c r="A13" s="168" t="s">
        <v>134</v>
      </c>
      <c r="B13" s="168" t="s">
        <v>224</v>
      </c>
      <c r="C13" s="168" t="s">
        <v>225</v>
      </c>
      <c r="D13" s="169" t="s">
        <v>73</v>
      </c>
      <c r="E13" s="169" t="s">
        <v>72</v>
      </c>
      <c r="F13" s="169" t="s">
        <v>73</v>
      </c>
      <c r="G13" s="169" t="s">
        <v>73</v>
      </c>
      <c r="H13" s="169"/>
      <c r="I13" s="169"/>
      <c r="N13" s="169"/>
      <c r="O13" s="169"/>
      <c r="P13" s="169"/>
      <c r="Q13" s="169" t="s">
        <v>73</v>
      </c>
      <c r="R13" s="169" t="s">
        <v>73</v>
      </c>
      <c r="S13" s="169" t="s">
        <v>73</v>
      </c>
      <c r="T13" s="79"/>
      <c r="U13" s="79"/>
      <c r="V13" s="1"/>
      <c r="W13" s="1"/>
      <c r="X13" s="1"/>
      <c r="Y13" s="1"/>
      <c r="Z13" s="169" t="s">
        <v>73</v>
      </c>
      <c r="AA13" s="169" t="s">
        <v>73</v>
      </c>
      <c r="AC13" s="1"/>
      <c r="AE13" s="1"/>
      <c r="AF13" s="1"/>
      <c r="AK13" s="169" t="s">
        <v>73</v>
      </c>
      <c r="AL13" s="169" t="s">
        <v>73</v>
      </c>
      <c r="AN13" s="169" t="s">
        <v>73</v>
      </c>
      <c r="AP13" s="169" t="s">
        <v>73</v>
      </c>
      <c r="AR13" s="169" t="s">
        <v>73</v>
      </c>
      <c r="AT13" s="168" t="s">
        <v>73</v>
      </c>
      <c r="AW13" s="1">
        <v>50</v>
      </c>
      <c r="AX13" s="1">
        <v>6</v>
      </c>
      <c r="AY13" s="169" t="s">
        <v>73</v>
      </c>
      <c r="AZ13" s="169" t="s">
        <v>72</v>
      </c>
      <c r="BA13" s="170" t="s">
        <v>73</v>
      </c>
      <c r="BB13" s="169">
        <v>1863</v>
      </c>
      <c r="BC13" s="102">
        <v>45644.607523148145</v>
      </c>
      <c r="BD13" s="87">
        <v>45644.56585648148</v>
      </c>
      <c r="BE13" s="169" t="s">
        <v>73</v>
      </c>
      <c r="BF13" s="169" t="s">
        <v>73</v>
      </c>
      <c r="BG13" s="169" t="s">
        <v>73</v>
      </c>
      <c r="BH13" s="169" t="s">
        <v>73</v>
      </c>
      <c r="BI13" s="169" t="s">
        <v>73</v>
      </c>
      <c r="BJ13" s="169" t="s">
        <v>73</v>
      </c>
      <c r="BK13" s="169"/>
      <c r="BL13" s="169" t="s">
        <v>73</v>
      </c>
      <c r="BM13" s="169" t="s">
        <v>73</v>
      </c>
      <c r="BN13" s="169" t="s">
        <v>73</v>
      </c>
      <c r="BO13" s="169" t="s">
        <v>73</v>
      </c>
      <c r="BP13" s="169" t="s">
        <v>73</v>
      </c>
      <c r="BQ13" s="169" t="s">
        <v>73</v>
      </c>
      <c r="BR13" s="1"/>
      <c r="BS13" s="169" t="s">
        <v>73</v>
      </c>
      <c r="BT13" s="169" t="s">
        <v>73</v>
      </c>
      <c r="BU13" s="169" t="s">
        <v>73</v>
      </c>
      <c r="BV13" s="169" t="s">
        <v>73</v>
      </c>
      <c r="BW13" s="1"/>
      <c r="BX13"/>
      <c r="BY13"/>
    </row>
    <row r="14" spans="1:79" ht="16" x14ac:dyDescent="0.2">
      <c r="A14" s="168" t="s">
        <v>134</v>
      </c>
      <c r="B14" s="168" t="s">
        <v>205</v>
      </c>
      <c r="C14" s="168" t="s">
        <v>206</v>
      </c>
      <c r="D14" s="169" t="s">
        <v>73</v>
      </c>
      <c r="E14" s="169" t="s">
        <v>72</v>
      </c>
      <c r="F14" s="169" t="s">
        <v>73</v>
      </c>
      <c r="G14" s="169" t="s">
        <v>73</v>
      </c>
      <c r="H14" s="169"/>
      <c r="I14" s="169">
        <v>6</v>
      </c>
      <c r="J14">
        <v>6</v>
      </c>
      <c r="L14">
        <v>4</v>
      </c>
      <c r="N14" s="169"/>
      <c r="O14" s="169"/>
      <c r="P14" s="169"/>
      <c r="Q14" s="169" t="s">
        <v>73</v>
      </c>
      <c r="R14" s="169" t="s">
        <v>73</v>
      </c>
      <c r="S14" s="169" t="s">
        <v>73</v>
      </c>
      <c r="T14" s="79"/>
      <c r="U14" s="79"/>
      <c r="V14" s="1"/>
      <c r="W14" s="1"/>
      <c r="X14" s="1"/>
      <c r="Y14" s="1"/>
      <c r="Z14" s="169" t="s">
        <v>73</v>
      </c>
      <c r="AA14" s="169" t="s">
        <v>73</v>
      </c>
      <c r="AC14" s="1"/>
      <c r="AE14" s="1"/>
      <c r="AF14" s="1"/>
      <c r="AK14" s="169" t="s">
        <v>73</v>
      </c>
      <c r="AL14" s="169" t="s">
        <v>72</v>
      </c>
      <c r="AM14">
        <v>6</v>
      </c>
      <c r="AN14" s="169" t="s">
        <v>72</v>
      </c>
      <c r="AO14">
        <v>6</v>
      </c>
      <c r="AP14" s="169" t="s">
        <v>73</v>
      </c>
      <c r="AR14" s="169" t="s">
        <v>72</v>
      </c>
      <c r="AS14">
        <v>6</v>
      </c>
      <c r="AT14" s="168" t="s">
        <v>72</v>
      </c>
      <c r="AU14">
        <v>2</v>
      </c>
      <c r="AW14" s="1">
        <v>100</v>
      </c>
      <c r="AX14" s="1">
        <v>8</v>
      </c>
      <c r="AY14" s="169" t="s">
        <v>72</v>
      </c>
      <c r="AZ14" s="169" t="s">
        <v>72</v>
      </c>
      <c r="BA14" s="170" t="s">
        <v>73</v>
      </c>
      <c r="BB14" s="169">
        <v>1860</v>
      </c>
      <c r="BC14" s="102">
        <v>45644.473587962966</v>
      </c>
      <c r="BD14" s="87">
        <v>45644.431921296295</v>
      </c>
      <c r="BE14" s="169" t="s">
        <v>73</v>
      </c>
      <c r="BF14" s="169" t="s">
        <v>73</v>
      </c>
      <c r="BG14" s="169" t="s">
        <v>73</v>
      </c>
      <c r="BH14" s="169" t="s">
        <v>73</v>
      </c>
      <c r="BI14" s="169" t="s">
        <v>73</v>
      </c>
      <c r="BJ14" s="169" t="s">
        <v>73</v>
      </c>
      <c r="BK14" s="169"/>
      <c r="BL14" s="169" t="s">
        <v>73</v>
      </c>
      <c r="BM14" s="169" t="s">
        <v>73</v>
      </c>
      <c r="BN14" s="169" t="s">
        <v>73</v>
      </c>
      <c r="BO14" s="169" t="s">
        <v>73</v>
      </c>
      <c r="BP14" s="169" t="s">
        <v>73</v>
      </c>
      <c r="BQ14" s="169" t="s">
        <v>73</v>
      </c>
      <c r="BR14" s="1"/>
      <c r="BS14" s="169" t="s">
        <v>73</v>
      </c>
      <c r="BT14" s="169" t="s">
        <v>73</v>
      </c>
      <c r="BU14" s="169" t="s">
        <v>73</v>
      </c>
      <c r="BV14" s="169" t="s">
        <v>73</v>
      </c>
      <c r="BW14" s="1"/>
      <c r="BX14"/>
      <c r="BY14"/>
    </row>
    <row r="15" spans="1:79" ht="16" x14ac:dyDescent="0.2">
      <c r="A15" s="168" t="s">
        <v>134</v>
      </c>
      <c r="B15" s="168" t="s">
        <v>207</v>
      </c>
      <c r="C15" s="168" t="s">
        <v>236</v>
      </c>
      <c r="D15" s="169" t="s">
        <v>73</v>
      </c>
      <c r="E15" s="169" t="s">
        <v>72</v>
      </c>
      <c r="F15" s="169" t="s">
        <v>72</v>
      </c>
      <c r="G15" s="169" t="s">
        <v>73</v>
      </c>
      <c r="H15" s="169"/>
      <c r="I15" s="169">
        <v>7</v>
      </c>
      <c r="N15" s="169"/>
      <c r="O15" s="169"/>
      <c r="P15" s="169"/>
      <c r="Q15" s="169" t="s">
        <v>73</v>
      </c>
      <c r="R15" s="169" t="s">
        <v>73</v>
      </c>
      <c r="S15" s="169" t="s">
        <v>73</v>
      </c>
      <c r="T15" s="79"/>
      <c r="U15" s="79"/>
      <c r="V15" s="1"/>
      <c r="W15" s="1"/>
      <c r="X15" s="1"/>
      <c r="Y15" s="1"/>
      <c r="Z15" s="169" t="s">
        <v>73</v>
      </c>
      <c r="AA15" s="169" t="s">
        <v>73</v>
      </c>
      <c r="AC15" s="1"/>
      <c r="AE15" s="1"/>
      <c r="AF15" s="1"/>
      <c r="AK15" s="169" t="s">
        <v>72</v>
      </c>
      <c r="AL15" s="169" t="s">
        <v>72</v>
      </c>
      <c r="AM15">
        <v>6</v>
      </c>
      <c r="AN15" s="169" t="s">
        <v>72</v>
      </c>
      <c r="AO15">
        <v>6</v>
      </c>
      <c r="AP15" s="169" t="s">
        <v>73</v>
      </c>
      <c r="AR15" s="169" t="s">
        <v>72</v>
      </c>
      <c r="AS15">
        <v>6</v>
      </c>
      <c r="AT15" s="168" t="s">
        <v>73</v>
      </c>
      <c r="AW15" s="1">
        <v>57</v>
      </c>
      <c r="AX15" s="1">
        <v>2</v>
      </c>
      <c r="AY15" s="169" t="s">
        <v>73</v>
      </c>
      <c r="AZ15" s="169" t="s">
        <v>73</v>
      </c>
      <c r="BA15" s="170" t="s">
        <v>73</v>
      </c>
      <c r="BB15" s="169">
        <v>1856</v>
      </c>
      <c r="BC15" s="102">
        <v>45643.504120370373</v>
      </c>
      <c r="BD15" s="87">
        <v>45646.44630787037</v>
      </c>
      <c r="BE15" s="169" t="s">
        <v>73</v>
      </c>
      <c r="BF15" s="169" t="s">
        <v>73</v>
      </c>
      <c r="BG15" s="169" t="s">
        <v>73</v>
      </c>
      <c r="BH15" s="169" t="s">
        <v>73</v>
      </c>
      <c r="BI15" s="169" t="s">
        <v>73</v>
      </c>
      <c r="BJ15" s="169" t="s">
        <v>73</v>
      </c>
      <c r="BK15" s="169"/>
      <c r="BL15" s="169" t="s">
        <v>73</v>
      </c>
      <c r="BM15" s="169" t="s">
        <v>73</v>
      </c>
      <c r="BN15" s="169" t="s">
        <v>73</v>
      </c>
      <c r="BO15" s="169" t="s">
        <v>73</v>
      </c>
      <c r="BP15" s="169" t="s">
        <v>73</v>
      </c>
      <c r="BQ15" s="169" t="s">
        <v>73</v>
      </c>
      <c r="BR15" s="1"/>
      <c r="BS15" s="169" t="s">
        <v>73</v>
      </c>
      <c r="BT15" s="169" t="s">
        <v>73</v>
      </c>
      <c r="BU15" s="169" t="s">
        <v>73</v>
      </c>
      <c r="BV15" s="169" t="s">
        <v>73</v>
      </c>
      <c r="BW15" s="1"/>
      <c r="BX15"/>
      <c r="BY15"/>
    </row>
    <row r="16" spans="1:79" ht="16" x14ac:dyDescent="0.2">
      <c r="A16" s="168" t="s">
        <v>134</v>
      </c>
      <c r="B16" s="168" t="s">
        <v>208</v>
      </c>
      <c r="C16" s="168" t="s">
        <v>209</v>
      </c>
      <c r="D16" s="169" t="s">
        <v>73</v>
      </c>
      <c r="E16" s="169" t="s">
        <v>72</v>
      </c>
      <c r="F16" s="169" t="s">
        <v>72</v>
      </c>
      <c r="G16" s="169" t="s">
        <v>73</v>
      </c>
      <c r="H16" s="169"/>
      <c r="I16" s="169">
        <v>8</v>
      </c>
      <c r="J16">
        <v>10</v>
      </c>
      <c r="L16">
        <v>4</v>
      </c>
      <c r="M16">
        <v>4</v>
      </c>
      <c r="N16" s="169"/>
      <c r="O16" s="169"/>
      <c r="P16" s="169"/>
      <c r="Q16" s="169" t="s">
        <v>73</v>
      </c>
      <c r="R16" s="169" t="s">
        <v>73</v>
      </c>
      <c r="S16" s="169" t="s">
        <v>73</v>
      </c>
      <c r="T16" s="79"/>
      <c r="U16" s="79"/>
      <c r="V16" s="1"/>
      <c r="W16" s="1"/>
      <c r="X16" s="1"/>
      <c r="Y16" s="1"/>
      <c r="Z16" s="169" t="s">
        <v>73</v>
      </c>
      <c r="AA16" s="169" t="s">
        <v>73</v>
      </c>
      <c r="AC16" s="1"/>
      <c r="AE16" s="1"/>
      <c r="AF16" s="1"/>
      <c r="AK16" s="169" t="s">
        <v>73</v>
      </c>
      <c r="AL16" s="169" t="s">
        <v>72</v>
      </c>
      <c r="AM16">
        <v>6</v>
      </c>
      <c r="AN16" s="169" t="s">
        <v>72</v>
      </c>
      <c r="AO16">
        <v>6</v>
      </c>
      <c r="AP16" s="169" t="s">
        <v>73</v>
      </c>
      <c r="AR16" s="169" t="s">
        <v>72</v>
      </c>
      <c r="AS16">
        <v>6</v>
      </c>
      <c r="AT16" s="168" t="s">
        <v>73</v>
      </c>
      <c r="AW16" s="1">
        <v>60</v>
      </c>
      <c r="AX16" s="1">
        <v>18</v>
      </c>
      <c r="AY16" s="169" t="s">
        <v>73</v>
      </c>
      <c r="AZ16" s="169" t="s">
        <v>73</v>
      </c>
      <c r="BA16" s="170" t="s">
        <v>73</v>
      </c>
      <c r="BB16" s="169">
        <v>1850</v>
      </c>
      <c r="BC16" s="102">
        <v>45642.834224537037</v>
      </c>
      <c r="BD16" s="87">
        <v>45642.792557870373</v>
      </c>
      <c r="BE16" s="169" t="s">
        <v>73</v>
      </c>
      <c r="BF16" s="169" t="s">
        <v>73</v>
      </c>
      <c r="BG16" s="169" t="s">
        <v>73</v>
      </c>
      <c r="BH16" s="169" t="s">
        <v>73</v>
      </c>
      <c r="BI16" s="169" t="s">
        <v>73</v>
      </c>
      <c r="BJ16" s="169" t="s">
        <v>73</v>
      </c>
      <c r="BK16" s="169"/>
      <c r="BL16" s="169" t="s">
        <v>73</v>
      </c>
      <c r="BM16" s="169" t="s">
        <v>73</v>
      </c>
      <c r="BN16" s="169" t="s">
        <v>73</v>
      </c>
      <c r="BO16" s="169" t="s">
        <v>73</v>
      </c>
      <c r="BP16" s="169" t="s">
        <v>73</v>
      </c>
      <c r="BQ16" s="169" t="s">
        <v>73</v>
      </c>
      <c r="BR16" s="1"/>
      <c r="BS16" s="169" t="s">
        <v>73</v>
      </c>
      <c r="BT16" s="169" t="s">
        <v>73</v>
      </c>
      <c r="BU16" s="169" t="s">
        <v>73</v>
      </c>
      <c r="BV16" s="169" t="s">
        <v>73</v>
      </c>
      <c r="BW16" s="1"/>
      <c r="BX16"/>
      <c r="BY16"/>
    </row>
    <row r="17" spans="1:77" ht="16" x14ac:dyDescent="0.2">
      <c r="A17" s="168" t="s">
        <v>134</v>
      </c>
      <c r="B17" s="168" t="s">
        <v>210</v>
      </c>
      <c r="C17" s="168" t="s">
        <v>211</v>
      </c>
      <c r="D17" s="169" t="s">
        <v>73</v>
      </c>
      <c r="E17" s="169" t="s">
        <v>72</v>
      </c>
      <c r="F17" s="169" t="s">
        <v>72</v>
      </c>
      <c r="G17" s="169" t="s">
        <v>73</v>
      </c>
      <c r="H17" s="169"/>
      <c r="I17" s="169">
        <v>5</v>
      </c>
      <c r="J17">
        <v>3</v>
      </c>
      <c r="N17" s="169">
        <v>4</v>
      </c>
      <c r="O17" s="169"/>
      <c r="P17" s="169"/>
      <c r="Q17" s="169" t="s">
        <v>73</v>
      </c>
      <c r="R17" s="169" t="s">
        <v>73</v>
      </c>
      <c r="S17" s="169" t="s">
        <v>73</v>
      </c>
      <c r="T17" s="79">
        <v>3</v>
      </c>
      <c r="U17" s="79">
        <v>1</v>
      </c>
      <c r="V17" s="1"/>
      <c r="W17" s="1">
        <v>3</v>
      </c>
      <c r="X17" s="1">
        <v>1</v>
      </c>
      <c r="Y17" s="1"/>
      <c r="Z17" s="169" t="s">
        <v>73</v>
      </c>
      <c r="AA17" s="169" t="s">
        <v>73</v>
      </c>
      <c r="AC17" s="1"/>
      <c r="AE17" s="1"/>
      <c r="AF17" s="1"/>
      <c r="AK17" s="169" t="s">
        <v>72</v>
      </c>
      <c r="AL17" s="169" t="s">
        <v>73</v>
      </c>
      <c r="AN17" s="169" t="s">
        <v>73</v>
      </c>
      <c r="AP17" s="169" t="s">
        <v>73</v>
      </c>
      <c r="AR17" s="169" t="s">
        <v>73</v>
      </c>
      <c r="AT17" s="168" t="s">
        <v>73</v>
      </c>
      <c r="AW17" s="1">
        <v>32</v>
      </c>
      <c r="AX17" s="1">
        <v>7</v>
      </c>
      <c r="AY17" s="169" t="s">
        <v>73</v>
      </c>
      <c r="AZ17" s="169" t="s">
        <v>73</v>
      </c>
      <c r="BA17" s="170" t="s">
        <v>73</v>
      </c>
      <c r="BB17" s="169">
        <v>1846</v>
      </c>
      <c r="BC17" s="102">
        <v>45642.806666666664</v>
      </c>
      <c r="BD17" s="87">
        <v>45642.764999999999</v>
      </c>
      <c r="BE17" s="169" t="s">
        <v>73</v>
      </c>
      <c r="BF17" s="169" t="s">
        <v>73</v>
      </c>
      <c r="BG17" s="169" t="s">
        <v>73</v>
      </c>
      <c r="BH17" s="169" t="s">
        <v>73</v>
      </c>
      <c r="BI17" s="169" t="s">
        <v>73</v>
      </c>
      <c r="BJ17" s="169" t="s">
        <v>73</v>
      </c>
      <c r="BK17" s="169"/>
      <c r="BL17" s="169" t="s">
        <v>73</v>
      </c>
      <c r="BM17" s="169" t="s">
        <v>73</v>
      </c>
      <c r="BN17" s="169" t="s">
        <v>73</v>
      </c>
      <c r="BO17" s="169" t="s">
        <v>73</v>
      </c>
      <c r="BP17" s="169" t="s">
        <v>73</v>
      </c>
      <c r="BQ17" s="169" t="s">
        <v>73</v>
      </c>
      <c r="BR17" s="1"/>
      <c r="BS17" s="169" t="s">
        <v>73</v>
      </c>
      <c r="BT17" s="169" t="s">
        <v>73</v>
      </c>
      <c r="BU17" s="169" t="s">
        <v>73</v>
      </c>
      <c r="BV17" s="169" t="s">
        <v>73</v>
      </c>
      <c r="BW17" s="1"/>
      <c r="BX17"/>
      <c r="BY17"/>
    </row>
    <row r="18" spans="1:77" s="32" customFormat="1" ht="16" x14ac:dyDescent="0.2">
      <c r="A18" s="168" t="s">
        <v>134</v>
      </c>
      <c r="B18" s="168" t="s">
        <v>203</v>
      </c>
      <c r="C18" s="168" t="s">
        <v>204</v>
      </c>
      <c r="D18" s="169" t="s">
        <v>73</v>
      </c>
      <c r="E18" s="169" t="s">
        <v>73</v>
      </c>
      <c r="F18" s="169" t="s">
        <v>73</v>
      </c>
      <c r="G18" s="169" t="s">
        <v>73</v>
      </c>
      <c r="H18" s="169"/>
      <c r="I18" s="169"/>
      <c r="J18"/>
      <c r="K18"/>
      <c r="L18"/>
      <c r="M18"/>
      <c r="N18" s="169"/>
      <c r="O18" s="169"/>
      <c r="P18" s="169"/>
      <c r="Q18" s="169" t="s">
        <v>73</v>
      </c>
      <c r="R18" s="169" t="s">
        <v>73</v>
      </c>
      <c r="S18" s="169" t="s">
        <v>73</v>
      </c>
      <c r="T18" s="79"/>
      <c r="U18" s="79"/>
      <c r="V18" s="1"/>
      <c r="W18" s="1"/>
      <c r="X18" s="1"/>
      <c r="Y18" s="1"/>
      <c r="Z18" s="169" t="s">
        <v>73</v>
      </c>
      <c r="AA18" s="169" t="s">
        <v>73</v>
      </c>
      <c r="AB18"/>
      <c r="AC18" s="1"/>
      <c r="AD18"/>
      <c r="AE18" s="1"/>
      <c r="AF18" s="1"/>
      <c r="AG18"/>
      <c r="AH18"/>
      <c r="AI18"/>
      <c r="AJ18"/>
      <c r="AK18" s="169" t="s">
        <v>73</v>
      </c>
      <c r="AL18" s="169" t="s">
        <v>73</v>
      </c>
      <c r="AM18"/>
      <c r="AN18" s="169" t="s">
        <v>73</v>
      </c>
      <c r="AO18"/>
      <c r="AP18" s="169" t="s">
        <v>73</v>
      </c>
      <c r="AQ18"/>
      <c r="AR18" s="169" t="s">
        <v>73</v>
      </c>
      <c r="AS18"/>
      <c r="AT18" s="168" t="s">
        <v>73</v>
      </c>
      <c r="AU18"/>
      <c r="AV18"/>
      <c r="AW18" s="1">
        <v>30</v>
      </c>
      <c r="AX18" s="1">
        <v>2</v>
      </c>
      <c r="AY18" s="169" t="s">
        <v>72</v>
      </c>
      <c r="AZ18" s="169" t="s">
        <v>73</v>
      </c>
      <c r="BA18" s="170" t="s">
        <v>73</v>
      </c>
      <c r="BB18" s="169">
        <v>1843</v>
      </c>
      <c r="BC18" s="102">
        <v>45642.664270833331</v>
      </c>
      <c r="BD18" s="87">
        <v>45642.632361111115</v>
      </c>
      <c r="BE18" s="169" t="s">
        <v>73</v>
      </c>
      <c r="BF18" s="169" t="s">
        <v>73</v>
      </c>
      <c r="BG18" s="169" t="s">
        <v>73</v>
      </c>
      <c r="BH18" s="169" t="s">
        <v>73</v>
      </c>
      <c r="BI18" s="169" t="s">
        <v>73</v>
      </c>
      <c r="BJ18" s="169" t="s">
        <v>73</v>
      </c>
      <c r="BK18" s="169"/>
      <c r="BL18" s="169" t="s">
        <v>73</v>
      </c>
      <c r="BM18" s="169" t="s">
        <v>73</v>
      </c>
      <c r="BN18" s="169" t="s">
        <v>73</v>
      </c>
      <c r="BO18" s="169" t="s">
        <v>73</v>
      </c>
      <c r="BP18" s="169" t="s">
        <v>73</v>
      </c>
      <c r="BQ18" s="169" t="s">
        <v>73</v>
      </c>
      <c r="BR18" s="1"/>
      <c r="BS18" s="169" t="s">
        <v>73</v>
      </c>
      <c r="BT18" s="169" t="s">
        <v>73</v>
      </c>
      <c r="BU18" s="169" t="s">
        <v>73</v>
      </c>
      <c r="BV18" s="169" t="s">
        <v>73</v>
      </c>
      <c r="BW18" s="1"/>
    </row>
    <row r="19" spans="1:77" ht="16" x14ac:dyDescent="0.2">
      <c r="A19" s="168" t="s">
        <v>134</v>
      </c>
      <c r="B19" s="168" t="s">
        <v>192</v>
      </c>
      <c r="C19" s="168" t="s">
        <v>193</v>
      </c>
      <c r="D19" s="169" t="s">
        <v>73</v>
      </c>
      <c r="E19" s="169" t="s">
        <v>72</v>
      </c>
      <c r="F19" s="169" t="s">
        <v>72</v>
      </c>
      <c r="G19" s="169" t="s">
        <v>73</v>
      </c>
      <c r="H19" s="169"/>
      <c r="I19" s="169">
        <v>8</v>
      </c>
      <c r="N19" s="169"/>
      <c r="O19" s="169"/>
      <c r="P19" s="169"/>
      <c r="Q19" s="169" t="s">
        <v>73</v>
      </c>
      <c r="R19" s="169" t="s">
        <v>73</v>
      </c>
      <c r="S19" s="169" t="s">
        <v>73</v>
      </c>
      <c r="T19" s="79"/>
      <c r="U19" s="79"/>
      <c r="V19" s="1"/>
      <c r="W19" s="1"/>
      <c r="X19" s="1"/>
      <c r="Y19" s="1"/>
      <c r="Z19" s="169" t="s">
        <v>73</v>
      </c>
      <c r="AA19" s="169" t="s">
        <v>73</v>
      </c>
      <c r="AC19" s="1">
        <v>3</v>
      </c>
      <c r="AE19" s="1"/>
      <c r="AF19" s="1"/>
      <c r="AG19">
        <v>3</v>
      </c>
      <c r="AK19" s="169" t="s">
        <v>72</v>
      </c>
      <c r="AL19" s="169" t="s">
        <v>72</v>
      </c>
      <c r="AM19">
        <v>6</v>
      </c>
      <c r="AN19" s="169" t="s">
        <v>72</v>
      </c>
      <c r="AO19">
        <v>4</v>
      </c>
      <c r="AP19" s="169" t="s">
        <v>73</v>
      </c>
      <c r="AR19" s="169" t="s">
        <v>72</v>
      </c>
      <c r="AS19">
        <v>6</v>
      </c>
      <c r="AT19" s="168" t="s">
        <v>73</v>
      </c>
      <c r="AW19" s="1">
        <v>60</v>
      </c>
      <c r="AX19" s="1">
        <v>1</v>
      </c>
      <c r="AY19" s="169" t="s">
        <v>72</v>
      </c>
      <c r="AZ19" s="169" t="s">
        <v>72</v>
      </c>
      <c r="BA19" s="170" t="s">
        <v>73</v>
      </c>
      <c r="BB19" s="169">
        <v>1840</v>
      </c>
      <c r="BC19" s="102">
        <v>45641.723495370374</v>
      </c>
      <c r="BD19" s="87">
        <v>45641.681828703702</v>
      </c>
      <c r="BE19" s="169" t="s">
        <v>73</v>
      </c>
      <c r="BF19" s="169" t="s">
        <v>73</v>
      </c>
      <c r="BG19" s="169" t="s">
        <v>73</v>
      </c>
      <c r="BH19" s="169" t="s">
        <v>73</v>
      </c>
      <c r="BI19" s="169" t="s">
        <v>73</v>
      </c>
      <c r="BJ19" s="169" t="s">
        <v>73</v>
      </c>
      <c r="BK19" s="169"/>
      <c r="BL19" s="169" t="s">
        <v>73</v>
      </c>
      <c r="BM19" s="169" t="s">
        <v>73</v>
      </c>
      <c r="BN19" s="169" t="s">
        <v>73</v>
      </c>
      <c r="BO19" s="169" t="s">
        <v>73</v>
      </c>
      <c r="BP19" s="169" t="s">
        <v>73</v>
      </c>
      <c r="BQ19" s="169" t="s">
        <v>73</v>
      </c>
      <c r="BR19" s="1"/>
      <c r="BS19" s="169" t="s">
        <v>73</v>
      </c>
      <c r="BT19" s="169" t="s">
        <v>73</v>
      </c>
      <c r="BU19" s="169" t="s">
        <v>73</v>
      </c>
      <c r="BV19" s="169" t="s">
        <v>73</v>
      </c>
      <c r="BW19" s="1"/>
      <c r="BX19"/>
      <c r="BY19"/>
    </row>
    <row r="20" spans="1:77" ht="112" x14ac:dyDescent="0.2">
      <c r="A20" s="168" t="s">
        <v>134</v>
      </c>
      <c r="B20" s="168" t="s">
        <v>174</v>
      </c>
      <c r="C20" s="168" t="s">
        <v>130</v>
      </c>
      <c r="D20" s="169" t="s">
        <v>73</v>
      </c>
      <c r="E20" s="169" t="s">
        <v>72</v>
      </c>
      <c r="F20" s="169" t="s">
        <v>73</v>
      </c>
      <c r="G20" s="169" t="s">
        <v>73</v>
      </c>
      <c r="H20" s="169"/>
      <c r="I20" s="169">
        <v>4</v>
      </c>
      <c r="N20" s="169"/>
      <c r="O20" s="169"/>
      <c r="P20" s="169"/>
      <c r="Q20" s="169" t="s">
        <v>73</v>
      </c>
      <c r="R20" s="169" t="s">
        <v>73</v>
      </c>
      <c r="S20" s="169" t="s">
        <v>73</v>
      </c>
      <c r="T20" s="79"/>
      <c r="U20" s="79"/>
      <c r="V20" s="1"/>
      <c r="W20" s="1"/>
      <c r="X20" s="1"/>
      <c r="Y20" s="1"/>
      <c r="Z20" s="169" t="s">
        <v>73</v>
      </c>
      <c r="AA20" s="169" t="s">
        <v>73</v>
      </c>
      <c r="AC20" s="1"/>
      <c r="AE20" s="1"/>
      <c r="AF20" s="1"/>
      <c r="AK20" s="169" t="s">
        <v>73</v>
      </c>
      <c r="AL20" s="169" t="s">
        <v>72</v>
      </c>
      <c r="AM20">
        <v>4</v>
      </c>
      <c r="AN20" s="169" t="s">
        <v>72</v>
      </c>
      <c r="AO20">
        <v>4</v>
      </c>
      <c r="AP20" s="169" t="s">
        <v>73</v>
      </c>
      <c r="AR20" s="169" t="s">
        <v>73</v>
      </c>
      <c r="AT20" s="168" t="s">
        <v>73</v>
      </c>
      <c r="AW20" s="1">
        <v>50</v>
      </c>
      <c r="AX20" s="1">
        <v>0</v>
      </c>
      <c r="AY20" s="169" t="s">
        <v>73</v>
      </c>
      <c r="AZ20" s="169" t="s">
        <v>73</v>
      </c>
      <c r="BA20" s="170" t="s">
        <v>131</v>
      </c>
      <c r="BB20" s="169">
        <v>1809</v>
      </c>
      <c r="BC20" s="102">
        <v>45628.780671296299</v>
      </c>
      <c r="BD20" s="87">
        <v>45631.711145833331</v>
      </c>
      <c r="BE20" s="169" t="s">
        <v>73</v>
      </c>
      <c r="BF20" s="169" t="s">
        <v>73</v>
      </c>
      <c r="BG20" s="169" t="s">
        <v>73</v>
      </c>
      <c r="BH20" s="169" t="s">
        <v>73</v>
      </c>
      <c r="BI20" s="169" t="s">
        <v>73</v>
      </c>
      <c r="BJ20" s="169" t="s">
        <v>73</v>
      </c>
      <c r="BK20" s="169"/>
      <c r="BL20" s="169" t="s">
        <v>73</v>
      </c>
      <c r="BM20" s="169" t="s">
        <v>73</v>
      </c>
      <c r="BN20" s="169" t="s">
        <v>73</v>
      </c>
      <c r="BO20" s="169" t="s">
        <v>73</v>
      </c>
      <c r="BP20" s="169" t="s">
        <v>73</v>
      </c>
      <c r="BQ20" s="169" t="s">
        <v>73</v>
      </c>
      <c r="BR20" s="1"/>
      <c r="BS20" s="169" t="s">
        <v>73</v>
      </c>
      <c r="BT20" s="169" t="s">
        <v>73</v>
      </c>
      <c r="BU20" s="169" t="s">
        <v>73</v>
      </c>
      <c r="BV20" s="169" t="s">
        <v>73</v>
      </c>
      <c r="BW20" s="1"/>
      <c r="BX20"/>
      <c r="BY20"/>
    </row>
    <row r="21" spans="1:77" ht="176" x14ac:dyDescent="0.2">
      <c r="A21" s="168" t="s">
        <v>135</v>
      </c>
      <c r="B21" s="168" t="s">
        <v>241</v>
      </c>
      <c r="C21" s="168" t="s">
        <v>242</v>
      </c>
      <c r="D21" s="169" t="s">
        <v>73</v>
      </c>
      <c r="E21" s="169" t="s">
        <v>72</v>
      </c>
      <c r="F21" s="169" t="s">
        <v>72</v>
      </c>
      <c r="G21" s="169" t="s">
        <v>73</v>
      </c>
      <c r="H21" s="169" t="s">
        <v>72</v>
      </c>
      <c r="I21" s="169">
        <v>6</v>
      </c>
      <c r="J21">
        <v>3</v>
      </c>
      <c r="N21" s="169"/>
      <c r="O21" s="169"/>
      <c r="P21" s="169"/>
      <c r="Q21" s="169" t="s">
        <v>73</v>
      </c>
      <c r="R21" s="169" t="s">
        <v>73</v>
      </c>
      <c r="S21" s="169" t="s">
        <v>73</v>
      </c>
      <c r="T21" s="79">
        <v>1</v>
      </c>
      <c r="U21" s="79"/>
      <c r="V21" s="1"/>
      <c r="W21" s="1">
        <v>1</v>
      </c>
      <c r="X21" s="1"/>
      <c r="Y21" s="1"/>
      <c r="Z21" s="169" t="s">
        <v>73</v>
      </c>
      <c r="AA21" s="169" t="s">
        <v>73</v>
      </c>
      <c r="AC21" s="1"/>
      <c r="AE21" s="1"/>
      <c r="AF21" s="1"/>
      <c r="AK21" s="169" t="s">
        <v>73</v>
      </c>
      <c r="AL21" s="169" t="s">
        <v>72</v>
      </c>
      <c r="AM21">
        <v>6</v>
      </c>
      <c r="AN21" s="169" t="s">
        <v>72</v>
      </c>
      <c r="AO21">
        <v>6</v>
      </c>
      <c r="AP21" s="169" t="s">
        <v>73</v>
      </c>
      <c r="AR21" s="169" t="s">
        <v>72</v>
      </c>
      <c r="AS21">
        <v>6</v>
      </c>
      <c r="AT21" s="168" t="s">
        <v>72</v>
      </c>
      <c r="AU21">
        <v>4</v>
      </c>
      <c r="AW21" s="1">
        <v>46</v>
      </c>
      <c r="AX21" s="1">
        <v>18</v>
      </c>
      <c r="AY21" s="169" t="s">
        <v>73</v>
      </c>
      <c r="AZ21" s="169" t="s">
        <v>73</v>
      </c>
      <c r="BA21" s="170" t="s">
        <v>243</v>
      </c>
      <c r="BB21" s="169">
        <v>1885</v>
      </c>
      <c r="BC21" s="102">
        <v>45647.553773148145</v>
      </c>
      <c r="BD21" s="87">
        <v>45647.512106481481</v>
      </c>
      <c r="BE21" s="169" t="s">
        <v>73</v>
      </c>
      <c r="BF21" s="169" t="s">
        <v>73</v>
      </c>
      <c r="BG21" s="169" t="s">
        <v>73</v>
      </c>
      <c r="BH21" s="169" t="s">
        <v>73</v>
      </c>
      <c r="BI21" s="169" t="s">
        <v>73</v>
      </c>
      <c r="BJ21" s="169" t="s">
        <v>73</v>
      </c>
      <c r="BK21" s="169"/>
      <c r="BL21" s="169" t="s">
        <v>73</v>
      </c>
      <c r="BM21" s="169" t="s">
        <v>73</v>
      </c>
      <c r="BN21" s="169" t="s">
        <v>73</v>
      </c>
      <c r="BO21" s="169" t="s">
        <v>73</v>
      </c>
      <c r="BP21" s="169" t="s">
        <v>73</v>
      </c>
      <c r="BQ21" s="169" t="s">
        <v>73</v>
      </c>
      <c r="BR21" s="1"/>
      <c r="BS21" s="169" t="s">
        <v>73</v>
      </c>
      <c r="BT21" s="169" t="s">
        <v>73</v>
      </c>
      <c r="BU21" s="169" t="s">
        <v>73</v>
      </c>
      <c r="BV21" s="169" t="s">
        <v>73</v>
      </c>
      <c r="BW21" s="1"/>
      <c r="BX21"/>
      <c r="BY21"/>
    </row>
    <row r="22" spans="1:77" ht="16" x14ac:dyDescent="0.2">
      <c r="A22" s="168" t="s">
        <v>135</v>
      </c>
      <c r="B22" s="168" t="s">
        <v>244</v>
      </c>
      <c r="C22" s="168" t="s">
        <v>245</v>
      </c>
      <c r="D22" s="169" t="s">
        <v>73</v>
      </c>
      <c r="E22" s="169" t="s">
        <v>72</v>
      </c>
      <c r="F22" s="169" t="s">
        <v>72</v>
      </c>
      <c r="G22" s="169" t="s">
        <v>73</v>
      </c>
      <c r="H22" s="169"/>
      <c r="I22" s="169">
        <v>7</v>
      </c>
      <c r="N22" s="169"/>
      <c r="O22" s="169"/>
      <c r="P22" s="169"/>
      <c r="Q22" s="169" t="s">
        <v>73</v>
      </c>
      <c r="R22" s="169" t="s">
        <v>73</v>
      </c>
      <c r="S22" s="169" t="s">
        <v>73</v>
      </c>
      <c r="T22" s="79">
        <v>2</v>
      </c>
      <c r="U22" s="79"/>
      <c r="V22" s="1"/>
      <c r="W22" s="1">
        <v>2</v>
      </c>
      <c r="X22" s="1"/>
      <c r="Y22" s="1"/>
      <c r="Z22" s="169" t="s">
        <v>72</v>
      </c>
      <c r="AA22" s="169" t="s">
        <v>73</v>
      </c>
      <c r="AC22" s="1">
        <v>2</v>
      </c>
      <c r="AE22" s="1"/>
      <c r="AF22" s="1"/>
      <c r="AG22">
        <v>2</v>
      </c>
      <c r="AK22" s="169" t="s">
        <v>73</v>
      </c>
      <c r="AL22" s="169" t="s">
        <v>72</v>
      </c>
      <c r="AM22">
        <v>6</v>
      </c>
      <c r="AN22" s="169" t="s">
        <v>72</v>
      </c>
      <c r="AO22">
        <v>6</v>
      </c>
      <c r="AP22" s="169" t="s">
        <v>73</v>
      </c>
      <c r="AR22" s="169" t="s">
        <v>72</v>
      </c>
      <c r="AS22">
        <v>6</v>
      </c>
      <c r="AT22" s="168" t="s">
        <v>72</v>
      </c>
      <c r="AU22">
        <v>1</v>
      </c>
      <c r="AW22" s="1">
        <v>75</v>
      </c>
      <c r="AX22" s="1">
        <v>5</v>
      </c>
      <c r="AY22" s="169" t="s">
        <v>73</v>
      </c>
      <c r="AZ22" s="169" t="s">
        <v>73</v>
      </c>
      <c r="BA22" s="170" t="s">
        <v>73</v>
      </c>
      <c r="BB22" s="169">
        <v>1880</v>
      </c>
      <c r="BC22" s="102">
        <v>45647.421400462961</v>
      </c>
      <c r="BD22" s="87">
        <v>45647.441203703704</v>
      </c>
      <c r="BE22" s="169" t="s">
        <v>245</v>
      </c>
      <c r="BF22" s="169" t="s">
        <v>78</v>
      </c>
      <c r="BG22" s="169" t="s">
        <v>215</v>
      </c>
      <c r="BH22" s="169" t="s">
        <v>162</v>
      </c>
      <c r="BI22" s="169" t="s">
        <v>246</v>
      </c>
      <c r="BJ22" s="169" t="s">
        <v>246</v>
      </c>
      <c r="BK22" s="169">
        <v>35</v>
      </c>
      <c r="BL22" s="169" t="s">
        <v>73</v>
      </c>
      <c r="BM22" s="169" t="s">
        <v>73</v>
      </c>
      <c r="BN22" s="169" t="s">
        <v>73</v>
      </c>
      <c r="BO22" s="169" t="s">
        <v>73</v>
      </c>
      <c r="BP22" s="169" t="s">
        <v>73</v>
      </c>
      <c r="BQ22" s="169" t="s">
        <v>73</v>
      </c>
      <c r="BR22" s="1"/>
      <c r="BS22" s="169" t="s">
        <v>73</v>
      </c>
      <c r="BT22" s="169" t="s">
        <v>73</v>
      </c>
      <c r="BU22" s="169" t="s">
        <v>73</v>
      </c>
      <c r="BV22" s="169" t="s">
        <v>73</v>
      </c>
      <c r="BW22" s="1"/>
      <c r="BX22"/>
      <c r="BY22"/>
    </row>
    <row r="23" spans="1:77" ht="16" x14ac:dyDescent="0.2">
      <c r="A23" s="168" t="s">
        <v>135</v>
      </c>
      <c r="B23" s="168" t="s">
        <v>237</v>
      </c>
      <c r="C23" s="168" t="s">
        <v>238</v>
      </c>
      <c r="D23" s="169" t="s">
        <v>73</v>
      </c>
      <c r="E23" s="169" t="s">
        <v>72</v>
      </c>
      <c r="F23" s="169" t="s">
        <v>72</v>
      </c>
      <c r="G23" s="169" t="s">
        <v>73</v>
      </c>
      <c r="H23" s="169"/>
      <c r="I23" s="169">
        <v>4</v>
      </c>
      <c r="N23" s="169"/>
      <c r="O23" s="169"/>
      <c r="P23" s="169"/>
      <c r="Q23" s="169" t="s">
        <v>73</v>
      </c>
      <c r="R23" s="169" t="s">
        <v>73</v>
      </c>
      <c r="S23" s="169" t="s">
        <v>73</v>
      </c>
      <c r="T23" s="79"/>
      <c r="U23" s="79"/>
      <c r="V23" s="1"/>
      <c r="W23" s="1"/>
      <c r="X23" s="1"/>
      <c r="Y23" s="1"/>
      <c r="Z23" s="169" t="s">
        <v>73</v>
      </c>
      <c r="AA23" s="169" t="s">
        <v>73</v>
      </c>
      <c r="AC23" s="1"/>
      <c r="AD23">
        <v>1</v>
      </c>
      <c r="AE23" s="1"/>
      <c r="AF23" s="1"/>
      <c r="AH23">
        <v>1</v>
      </c>
      <c r="AK23" s="169" t="s">
        <v>73</v>
      </c>
      <c r="AL23" s="169" t="s">
        <v>72</v>
      </c>
      <c r="AM23">
        <v>6</v>
      </c>
      <c r="AN23" s="169" t="s">
        <v>72</v>
      </c>
      <c r="AO23">
        <v>6</v>
      </c>
      <c r="AP23" s="169" t="s">
        <v>72</v>
      </c>
      <c r="AQ23">
        <v>6</v>
      </c>
      <c r="AR23" s="169" t="s">
        <v>72</v>
      </c>
      <c r="AS23">
        <v>6</v>
      </c>
      <c r="AT23" s="168" t="s">
        <v>73</v>
      </c>
      <c r="AW23" s="1">
        <v>6</v>
      </c>
      <c r="AX23" s="1">
        <v>0</v>
      </c>
      <c r="AY23" s="169" t="s">
        <v>73</v>
      </c>
      <c r="AZ23" s="169" t="s">
        <v>73</v>
      </c>
      <c r="BA23" s="170" t="s">
        <v>73</v>
      </c>
      <c r="BB23" s="169">
        <v>1869</v>
      </c>
      <c r="BC23" s="102">
        <v>45645.398530092592</v>
      </c>
      <c r="BD23" s="87">
        <v>45645.356863425928</v>
      </c>
      <c r="BE23" s="169" t="s">
        <v>73</v>
      </c>
      <c r="BF23" s="169" t="s">
        <v>73</v>
      </c>
      <c r="BG23" s="169" t="s">
        <v>73</v>
      </c>
      <c r="BH23" s="169" t="s">
        <v>73</v>
      </c>
      <c r="BI23" s="169" t="s">
        <v>73</v>
      </c>
      <c r="BJ23" s="169" t="s">
        <v>73</v>
      </c>
      <c r="BK23" s="169"/>
      <c r="BL23" s="169" t="s">
        <v>73</v>
      </c>
      <c r="BM23" s="169" t="s">
        <v>73</v>
      </c>
      <c r="BN23" s="169" t="s">
        <v>73</v>
      </c>
      <c r="BO23" s="169" t="s">
        <v>73</v>
      </c>
      <c r="BP23" s="169" t="s">
        <v>73</v>
      </c>
      <c r="BQ23" s="169" t="s">
        <v>73</v>
      </c>
      <c r="BR23" s="1"/>
      <c r="BS23" s="169" t="s">
        <v>73</v>
      </c>
      <c r="BT23" s="169" t="s">
        <v>73</v>
      </c>
      <c r="BU23" s="169" t="s">
        <v>73</v>
      </c>
      <c r="BV23" s="169" t="s">
        <v>73</v>
      </c>
      <c r="BW23" s="1"/>
      <c r="BX23"/>
      <c r="BY23"/>
    </row>
    <row r="24" spans="1:77" ht="16" x14ac:dyDescent="0.2">
      <c r="A24" s="168" t="s">
        <v>135</v>
      </c>
      <c r="B24" s="168" t="s">
        <v>228</v>
      </c>
      <c r="C24" s="168" t="s">
        <v>229</v>
      </c>
      <c r="D24" s="169" t="s">
        <v>73</v>
      </c>
      <c r="E24" s="169" t="s">
        <v>72</v>
      </c>
      <c r="F24" s="169" t="s">
        <v>72</v>
      </c>
      <c r="G24" s="169" t="s">
        <v>73</v>
      </c>
      <c r="H24" s="169"/>
      <c r="I24" s="169">
        <v>6</v>
      </c>
      <c r="N24" s="169"/>
      <c r="O24" s="169"/>
      <c r="P24" s="169"/>
      <c r="Q24" s="169" t="s">
        <v>73</v>
      </c>
      <c r="R24" s="169" t="s">
        <v>73</v>
      </c>
      <c r="S24" s="169" t="s">
        <v>73</v>
      </c>
      <c r="T24" s="79"/>
      <c r="U24" s="79"/>
      <c r="V24" s="1"/>
      <c r="W24" s="1"/>
      <c r="X24" s="1"/>
      <c r="Y24" s="1"/>
      <c r="Z24" s="169" t="s">
        <v>73</v>
      </c>
      <c r="AA24" s="169" t="s">
        <v>73</v>
      </c>
      <c r="AC24" s="1">
        <v>5</v>
      </c>
      <c r="AE24" s="1"/>
      <c r="AF24" s="1"/>
      <c r="AG24">
        <v>5</v>
      </c>
      <c r="AK24" s="169" t="s">
        <v>73</v>
      </c>
      <c r="AL24" s="169" t="s">
        <v>72</v>
      </c>
      <c r="AM24">
        <v>4</v>
      </c>
      <c r="AN24" s="169" t="s">
        <v>72</v>
      </c>
      <c r="AO24">
        <v>4</v>
      </c>
      <c r="AP24" s="169" t="s">
        <v>73</v>
      </c>
      <c r="AR24" s="169" t="s">
        <v>73</v>
      </c>
      <c r="AT24" s="168" t="s">
        <v>73</v>
      </c>
      <c r="AW24" s="1">
        <v>50</v>
      </c>
      <c r="AX24" s="1">
        <v>15</v>
      </c>
      <c r="AY24" s="169" t="s">
        <v>73</v>
      </c>
      <c r="AZ24" s="169" t="s">
        <v>73</v>
      </c>
      <c r="BA24" s="170" t="s">
        <v>73</v>
      </c>
      <c r="BB24" s="169">
        <v>1867</v>
      </c>
      <c r="BC24" s="102">
        <v>45644.860902777778</v>
      </c>
      <c r="BD24" s="87">
        <v>45644.819236111114</v>
      </c>
      <c r="BE24" s="169" t="s">
        <v>73</v>
      </c>
      <c r="BF24" s="169" t="s">
        <v>73</v>
      </c>
      <c r="BG24" s="169" t="s">
        <v>73</v>
      </c>
      <c r="BH24" s="169" t="s">
        <v>73</v>
      </c>
      <c r="BI24" s="169" t="s">
        <v>73</v>
      </c>
      <c r="BJ24" s="169" t="s">
        <v>73</v>
      </c>
      <c r="BK24" s="169"/>
      <c r="BL24" s="169" t="s">
        <v>73</v>
      </c>
      <c r="BM24" s="169" t="s">
        <v>73</v>
      </c>
      <c r="BN24" s="169" t="s">
        <v>73</v>
      </c>
      <c r="BO24" s="169" t="s">
        <v>73</v>
      </c>
      <c r="BP24" s="169" t="s">
        <v>73</v>
      </c>
      <c r="BQ24" s="169" t="s">
        <v>73</v>
      </c>
      <c r="BR24" s="1"/>
      <c r="BS24" s="169" t="s">
        <v>73</v>
      </c>
      <c r="BT24" s="169" t="s">
        <v>73</v>
      </c>
      <c r="BU24" s="169" t="s">
        <v>73</v>
      </c>
      <c r="BV24" s="169" t="s">
        <v>73</v>
      </c>
      <c r="BW24" s="1"/>
      <c r="BX24"/>
      <c r="BY24"/>
    </row>
    <row r="25" spans="1:77" ht="16" x14ac:dyDescent="0.2">
      <c r="A25" s="168" t="s">
        <v>135</v>
      </c>
      <c r="B25" s="168" t="s">
        <v>226</v>
      </c>
      <c r="C25" s="168" t="s">
        <v>227</v>
      </c>
      <c r="D25" s="169" t="s">
        <v>73</v>
      </c>
      <c r="E25" s="169" t="s">
        <v>72</v>
      </c>
      <c r="F25" s="169" t="s">
        <v>72</v>
      </c>
      <c r="G25" s="169" t="s">
        <v>73</v>
      </c>
      <c r="H25" s="169"/>
      <c r="I25" s="169">
        <v>5</v>
      </c>
      <c r="N25" s="169"/>
      <c r="O25" s="169"/>
      <c r="P25" s="169"/>
      <c r="Q25" s="169" t="s">
        <v>73</v>
      </c>
      <c r="R25" s="169" t="s">
        <v>73</v>
      </c>
      <c r="S25" s="169" t="s">
        <v>73</v>
      </c>
      <c r="T25" s="79"/>
      <c r="U25" s="79"/>
      <c r="V25" s="1"/>
      <c r="W25" s="1"/>
      <c r="X25" s="1"/>
      <c r="Y25" s="1"/>
      <c r="Z25" s="169" t="s">
        <v>73</v>
      </c>
      <c r="AA25" s="169" t="s">
        <v>73</v>
      </c>
      <c r="AC25" s="1"/>
      <c r="AE25" s="1"/>
      <c r="AF25" s="1"/>
      <c r="AK25" s="169" t="s">
        <v>72</v>
      </c>
      <c r="AL25" s="169" t="s">
        <v>72</v>
      </c>
      <c r="AM25">
        <v>5</v>
      </c>
      <c r="AN25" s="169" t="s">
        <v>72</v>
      </c>
      <c r="AO25">
        <v>5</v>
      </c>
      <c r="AP25" s="169" t="s">
        <v>73</v>
      </c>
      <c r="AR25" s="169" t="s">
        <v>72</v>
      </c>
      <c r="AS25">
        <v>5</v>
      </c>
      <c r="AT25" s="168" t="s">
        <v>73</v>
      </c>
      <c r="AW25" s="1">
        <v>40</v>
      </c>
      <c r="AX25" s="1">
        <v>1</v>
      </c>
      <c r="AY25" s="169" t="s">
        <v>73</v>
      </c>
      <c r="AZ25" s="169" t="s">
        <v>73</v>
      </c>
      <c r="BA25" s="170" t="s">
        <v>73</v>
      </c>
      <c r="BB25" s="169">
        <v>1864</v>
      </c>
      <c r="BC25" s="102">
        <v>45644.82234953704</v>
      </c>
      <c r="BD25" s="87">
        <v>45644.780682870369</v>
      </c>
      <c r="BE25" s="169" t="s">
        <v>73</v>
      </c>
      <c r="BF25" s="169" t="s">
        <v>73</v>
      </c>
      <c r="BG25" s="169" t="s">
        <v>73</v>
      </c>
      <c r="BH25" s="169" t="s">
        <v>73</v>
      </c>
      <c r="BI25" s="169" t="s">
        <v>73</v>
      </c>
      <c r="BJ25" s="169" t="s">
        <v>73</v>
      </c>
      <c r="BK25" s="169"/>
      <c r="BL25" s="169" t="s">
        <v>73</v>
      </c>
      <c r="BM25" s="169" t="s">
        <v>73</v>
      </c>
      <c r="BN25" s="169" t="s">
        <v>73</v>
      </c>
      <c r="BO25" s="169" t="s">
        <v>73</v>
      </c>
      <c r="BP25" s="169" t="s">
        <v>73</v>
      </c>
      <c r="BQ25" s="169" t="s">
        <v>73</v>
      </c>
      <c r="BR25" s="1"/>
      <c r="BS25" s="169" t="s">
        <v>73</v>
      </c>
      <c r="BT25" s="169" t="s">
        <v>73</v>
      </c>
      <c r="BU25" s="169" t="s">
        <v>73</v>
      </c>
      <c r="BV25" s="169" t="s">
        <v>73</v>
      </c>
      <c r="BW25" s="1"/>
      <c r="BX25"/>
      <c r="BY25"/>
    </row>
    <row r="26" spans="1:77" ht="16" x14ac:dyDescent="0.2">
      <c r="A26" s="168" t="s">
        <v>135</v>
      </c>
      <c r="B26" s="168" t="s">
        <v>205</v>
      </c>
      <c r="C26" s="168" t="s">
        <v>206</v>
      </c>
      <c r="D26" s="169" t="s">
        <v>73</v>
      </c>
      <c r="E26" s="169" t="s">
        <v>72</v>
      </c>
      <c r="F26" s="169" t="s">
        <v>73</v>
      </c>
      <c r="G26" s="169" t="s">
        <v>73</v>
      </c>
      <c r="H26" s="169"/>
      <c r="I26" s="169">
        <v>6</v>
      </c>
      <c r="J26">
        <v>6</v>
      </c>
      <c r="L26">
        <v>4</v>
      </c>
      <c r="N26" s="169"/>
      <c r="O26" s="169"/>
      <c r="P26" s="169"/>
      <c r="Q26" s="169" t="s">
        <v>73</v>
      </c>
      <c r="R26" s="169" t="s">
        <v>73</v>
      </c>
      <c r="S26" s="169" t="s">
        <v>73</v>
      </c>
      <c r="T26" s="79"/>
      <c r="U26" s="79"/>
      <c r="V26" s="1"/>
      <c r="W26" s="1"/>
      <c r="X26" s="1"/>
      <c r="Y26" s="1"/>
      <c r="Z26" s="169" t="s">
        <v>73</v>
      </c>
      <c r="AA26" s="169" t="s">
        <v>73</v>
      </c>
      <c r="AC26" s="1"/>
      <c r="AE26" s="1"/>
      <c r="AF26" s="1"/>
      <c r="AK26" s="169" t="s">
        <v>73</v>
      </c>
      <c r="AL26" s="169" t="s">
        <v>72</v>
      </c>
      <c r="AM26">
        <v>6</v>
      </c>
      <c r="AN26" s="169" t="s">
        <v>72</v>
      </c>
      <c r="AO26">
        <v>6</v>
      </c>
      <c r="AP26" s="169" t="s">
        <v>73</v>
      </c>
      <c r="AR26" s="169" t="s">
        <v>72</v>
      </c>
      <c r="AS26">
        <v>6</v>
      </c>
      <c r="AT26" s="168" t="s">
        <v>72</v>
      </c>
      <c r="AU26">
        <v>2</v>
      </c>
      <c r="AW26" s="1">
        <v>100</v>
      </c>
      <c r="AX26" s="1">
        <v>8</v>
      </c>
      <c r="AY26" s="169" t="s">
        <v>72</v>
      </c>
      <c r="AZ26" s="169" t="s">
        <v>73</v>
      </c>
      <c r="BA26" s="170" t="s">
        <v>73</v>
      </c>
      <c r="BB26" s="169">
        <v>1859</v>
      </c>
      <c r="BC26" s="102">
        <v>45644.468113425923</v>
      </c>
      <c r="BD26" s="87">
        <v>45644.426446759258</v>
      </c>
      <c r="BE26" s="169" t="s">
        <v>73</v>
      </c>
      <c r="BF26" s="169" t="s">
        <v>73</v>
      </c>
      <c r="BG26" s="169" t="s">
        <v>73</v>
      </c>
      <c r="BH26" s="169" t="s">
        <v>73</v>
      </c>
      <c r="BI26" s="169" t="s">
        <v>73</v>
      </c>
      <c r="BJ26" s="169" t="s">
        <v>73</v>
      </c>
      <c r="BK26" s="169"/>
      <c r="BL26" s="169" t="s">
        <v>73</v>
      </c>
      <c r="BM26" s="169" t="s">
        <v>73</v>
      </c>
      <c r="BN26" s="169" t="s">
        <v>73</v>
      </c>
      <c r="BO26" s="169" t="s">
        <v>73</v>
      </c>
      <c r="BP26" s="169" t="s">
        <v>73</v>
      </c>
      <c r="BQ26" s="169" t="s">
        <v>73</v>
      </c>
      <c r="BR26" s="1"/>
      <c r="BS26" s="169" t="s">
        <v>73</v>
      </c>
      <c r="BT26" s="169" t="s">
        <v>73</v>
      </c>
      <c r="BU26" s="169" t="s">
        <v>73</v>
      </c>
      <c r="BV26" s="169" t="s">
        <v>73</v>
      </c>
      <c r="BW26" s="1"/>
      <c r="BX26"/>
      <c r="BY26"/>
    </row>
    <row r="27" spans="1:77" ht="16" x14ac:dyDescent="0.2">
      <c r="A27" s="168" t="s">
        <v>135</v>
      </c>
      <c r="B27" s="168" t="s">
        <v>212</v>
      </c>
      <c r="C27" s="168" t="s">
        <v>213</v>
      </c>
      <c r="D27" s="169" t="s">
        <v>73</v>
      </c>
      <c r="E27" s="169" t="s">
        <v>72</v>
      </c>
      <c r="F27" s="169" t="s">
        <v>72</v>
      </c>
      <c r="G27" s="169" t="s">
        <v>73</v>
      </c>
      <c r="H27" s="169"/>
      <c r="I27" s="169">
        <v>6</v>
      </c>
      <c r="N27" s="169"/>
      <c r="O27" s="169"/>
      <c r="P27" s="169"/>
      <c r="Q27" s="169" t="s">
        <v>73</v>
      </c>
      <c r="R27" s="169" t="s">
        <v>73</v>
      </c>
      <c r="S27" s="169" t="s">
        <v>73</v>
      </c>
      <c r="T27" s="79"/>
      <c r="U27" s="79"/>
      <c r="V27" s="1"/>
      <c r="W27" s="1"/>
      <c r="X27" s="1"/>
      <c r="Y27" s="1"/>
      <c r="Z27" s="169" t="s">
        <v>73</v>
      </c>
      <c r="AA27" s="169" t="s">
        <v>73</v>
      </c>
      <c r="AC27" s="1"/>
      <c r="AE27" s="1"/>
      <c r="AF27" s="1"/>
      <c r="AK27" s="169" t="s">
        <v>73</v>
      </c>
      <c r="AL27" s="169" t="s">
        <v>72</v>
      </c>
      <c r="AM27">
        <v>6</v>
      </c>
      <c r="AN27" s="169" t="s">
        <v>72</v>
      </c>
      <c r="AO27">
        <v>6</v>
      </c>
      <c r="AP27" s="169" t="s">
        <v>73</v>
      </c>
      <c r="AR27" s="169" t="s">
        <v>72</v>
      </c>
      <c r="AS27">
        <v>6</v>
      </c>
      <c r="AT27" s="168" t="s">
        <v>73</v>
      </c>
      <c r="AW27" s="1">
        <v>40</v>
      </c>
      <c r="AX27" s="1">
        <v>2</v>
      </c>
      <c r="AY27" s="169" t="s">
        <v>72</v>
      </c>
      <c r="AZ27" s="169" t="s">
        <v>73</v>
      </c>
      <c r="BA27" s="170" t="s">
        <v>73</v>
      </c>
      <c r="BB27" s="169">
        <v>1857</v>
      </c>
      <c r="BC27" s="102">
        <v>45643.901631944442</v>
      </c>
      <c r="BD27" s="87">
        <v>45643.859965277778</v>
      </c>
      <c r="BE27" s="169" t="s">
        <v>73</v>
      </c>
      <c r="BF27" s="169" t="s">
        <v>73</v>
      </c>
      <c r="BG27" s="169" t="s">
        <v>73</v>
      </c>
      <c r="BH27" s="169" t="s">
        <v>73</v>
      </c>
      <c r="BI27" s="169" t="s">
        <v>73</v>
      </c>
      <c r="BJ27" s="169" t="s">
        <v>73</v>
      </c>
      <c r="BK27" s="169"/>
      <c r="BL27" s="169" t="s">
        <v>73</v>
      </c>
      <c r="BM27" s="169" t="s">
        <v>73</v>
      </c>
      <c r="BN27" s="169" t="s">
        <v>73</v>
      </c>
      <c r="BO27" s="169" t="s">
        <v>73</v>
      </c>
      <c r="BP27" s="169" t="s">
        <v>73</v>
      </c>
      <c r="BQ27" s="169" t="s">
        <v>73</v>
      </c>
      <c r="BR27" s="1"/>
      <c r="BS27" s="169" t="s">
        <v>73</v>
      </c>
      <c r="BT27" s="169" t="s">
        <v>73</v>
      </c>
      <c r="BU27" s="169" t="s">
        <v>73</v>
      </c>
      <c r="BV27" s="169" t="s">
        <v>73</v>
      </c>
      <c r="BW27" s="1"/>
      <c r="BX27"/>
      <c r="BY27"/>
    </row>
    <row r="28" spans="1:77" ht="80" x14ac:dyDescent="0.2">
      <c r="A28" s="168" t="s">
        <v>135</v>
      </c>
      <c r="B28" s="168" t="s">
        <v>207</v>
      </c>
      <c r="C28" s="168" t="s">
        <v>236</v>
      </c>
      <c r="D28" s="169" t="s">
        <v>73</v>
      </c>
      <c r="E28" s="169" t="s">
        <v>72</v>
      </c>
      <c r="F28" s="169" t="s">
        <v>72</v>
      </c>
      <c r="G28" s="169" t="s">
        <v>73</v>
      </c>
      <c r="H28" s="169"/>
      <c r="I28" s="169"/>
      <c r="N28" s="169"/>
      <c r="O28" s="169"/>
      <c r="P28" s="169"/>
      <c r="Q28" s="169" t="s">
        <v>73</v>
      </c>
      <c r="R28" s="169" t="s">
        <v>73</v>
      </c>
      <c r="S28" s="169" t="s">
        <v>73</v>
      </c>
      <c r="T28" s="79"/>
      <c r="U28" s="79"/>
      <c r="V28" s="1"/>
      <c r="W28" s="1"/>
      <c r="X28" s="1"/>
      <c r="Y28" s="1"/>
      <c r="Z28" s="169" t="s">
        <v>73</v>
      </c>
      <c r="AA28" s="169" t="s">
        <v>73</v>
      </c>
      <c r="AC28" s="1"/>
      <c r="AE28" s="1"/>
      <c r="AF28" s="1"/>
      <c r="AK28" s="169" t="s">
        <v>73</v>
      </c>
      <c r="AL28" s="169" t="s">
        <v>73</v>
      </c>
      <c r="AN28" s="169" t="s">
        <v>73</v>
      </c>
      <c r="AP28" s="169" t="s">
        <v>73</v>
      </c>
      <c r="AR28" s="169" t="s">
        <v>73</v>
      </c>
      <c r="AT28" s="168" t="s">
        <v>73</v>
      </c>
      <c r="AW28" s="1">
        <v>76</v>
      </c>
      <c r="AX28" s="1">
        <v>21</v>
      </c>
      <c r="AY28" s="169" t="s">
        <v>73</v>
      </c>
      <c r="AZ28" s="169" t="s">
        <v>73</v>
      </c>
      <c r="BA28" s="170" t="s">
        <v>214</v>
      </c>
      <c r="BB28" s="169">
        <v>1855</v>
      </c>
      <c r="BC28" s="102">
        <v>45643.499814814815</v>
      </c>
      <c r="BD28" s="87">
        <v>45646.44494212963</v>
      </c>
      <c r="BE28" s="169" t="s">
        <v>73</v>
      </c>
      <c r="BF28" s="169" t="s">
        <v>73</v>
      </c>
      <c r="BG28" s="169" t="s">
        <v>73</v>
      </c>
      <c r="BH28" s="169" t="s">
        <v>73</v>
      </c>
      <c r="BI28" s="169" t="s">
        <v>73</v>
      </c>
      <c r="BJ28" s="169" t="s">
        <v>73</v>
      </c>
      <c r="BK28" s="169"/>
      <c r="BL28" s="169" t="s">
        <v>73</v>
      </c>
      <c r="BM28" s="169" t="s">
        <v>73</v>
      </c>
      <c r="BN28" s="169" t="s">
        <v>73</v>
      </c>
      <c r="BO28" s="169" t="s">
        <v>73</v>
      </c>
      <c r="BP28" s="169" t="s">
        <v>73</v>
      </c>
      <c r="BQ28" s="169" t="s">
        <v>73</v>
      </c>
      <c r="BR28" s="1"/>
      <c r="BS28" s="169" t="s">
        <v>73</v>
      </c>
      <c r="BT28" s="169" t="s">
        <v>73</v>
      </c>
      <c r="BU28" s="169" t="s">
        <v>73</v>
      </c>
      <c r="BV28" s="169" t="s">
        <v>73</v>
      </c>
      <c r="BW28" s="1"/>
      <c r="BX28"/>
      <c r="BY28"/>
    </row>
    <row r="29" spans="1:77" ht="208" x14ac:dyDescent="0.2">
      <c r="A29" s="168" t="s">
        <v>135</v>
      </c>
      <c r="B29" s="168" t="s">
        <v>175</v>
      </c>
      <c r="C29" s="168" t="s">
        <v>155</v>
      </c>
      <c r="D29" s="169" t="s">
        <v>73</v>
      </c>
      <c r="E29" s="169" t="s">
        <v>72</v>
      </c>
      <c r="F29" s="169" t="s">
        <v>73</v>
      </c>
      <c r="G29" s="169" t="s">
        <v>73</v>
      </c>
      <c r="H29" s="169"/>
      <c r="I29" s="169">
        <v>8</v>
      </c>
      <c r="N29" s="169"/>
      <c r="O29" s="169"/>
      <c r="P29" s="169"/>
      <c r="Q29" s="169" t="s">
        <v>73</v>
      </c>
      <c r="R29" s="169" t="s">
        <v>73</v>
      </c>
      <c r="S29" s="169" t="s">
        <v>73</v>
      </c>
      <c r="T29" s="79"/>
      <c r="U29" s="79"/>
      <c r="V29" s="1"/>
      <c r="W29" s="1"/>
      <c r="X29" s="1"/>
      <c r="Y29" s="1"/>
      <c r="Z29" s="169" t="s">
        <v>73</v>
      </c>
      <c r="AA29" s="169" t="s">
        <v>73</v>
      </c>
      <c r="AC29" s="1"/>
      <c r="AE29" s="1"/>
      <c r="AF29" s="1"/>
      <c r="AK29" s="169" t="s">
        <v>73</v>
      </c>
      <c r="AL29" s="169" t="s">
        <v>73</v>
      </c>
      <c r="AN29" s="169" t="s">
        <v>73</v>
      </c>
      <c r="AP29" s="169" t="s">
        <v>73</v>
      </c>
      <c r="AR29" s="169" t="s">
        <v>73</v>
      </c>
      <c r="AT29" s="168" t="s">
        <v>73</v>
      </c>
      <c r="AW29" s="1">
        <v>12</v>
      </c>
      <c r="AX29" s="1">
        <v>0</v>
      </c>
      <c r="AY29" s="169" t="s">
        <v>73</v>
      </c>
      <c r="AZ29" s="169" t="s">
        <v>73</v>
      </c>
      <c r="BA29" s="170" t="s">
        <v>156</v>
      </c>
      <c r="BB29" s="169">
        <v>1821</v>
      </c>
      <c r="BC29" s="102">
        <v>45635.785624999997</v>
      </c>
      <c r="BD29" s="87">
        <v>45635.750081018516</v>
      </c>
      <c r="BE29" s="169" t="s">
        <v>73</v>
      </c>
      <c r="BF29" s="169" t="s">
        <v>73</v>
      </c>
      <c r="BG29" s="169" t="s">
        <v>73</v>
      </c>
      <c r="BH29" s="169" t="s">
        <v>73</v>
      </c>
      <c r="BI29" s="169" t="s">
        <v>73</v>
      </c>
      <c r="BJ29" s="169" t="s">
        <v>73</v>
      </c>
      <c r="BK29" s="169"/>
      <c r="BL29" s="169" t="s">
        <v>73</v>
      </c>
      <c r="BM29" s="169" t="s">
        <v>73</v>
      </c>
      <c r="BN29" s="169" t="s">
        <v>73</v>
      </c>
      <c r="BO29" s="169" t="s">
        <v>73</v>
      </c>
      <c r="BP29" s="169" t="s">
        <v>73</v>
      </c>
      <c r="BQ29" s="169" t="s">
        <v>73</v>
      </c>
      <c r="BR29" s="1"/>
      <c r="BS29" s="169" t="s">
        <v>73</v>
      </c>
      <c r="BT29" s="169" t="s">
        <v>73</v>
      </c>
      <c r="BU29" s="169" t="s">
        <v>73</v>
      </c>
      <c r="BV29" s="169" t="s">
        <v>73</v>
      </c>
      <c r="BW29" s="1"/>
      <c r="BX29"/>
      <c r="BY29"/>
    </row>
    <row r="30" spans="1:77" ht="16" x14ac:dyDescent="0.2">
      <c r="A30" s="168" t="s">
        <v>135</v>
      </c>
      <c r="B30" s="168" t="s">
        <v>176</v>
      </c>
      <c r="C30" s="168" t="s">
        <v>149</v>
      </c>
      <c r="D30" s="169" t="s">
        <v>73</v>
      </c>
      <c r="E30" s="169" t="s">
        <v>72</v>
      </c>
      <c r="F30" s="169" t="s">
        <v>73</v>
      </c>
      <c r="G30" s="169" t="s">
        <v>73</v>
      </c>
      <c r="H30" s="169"/>
      <c r="I30" s="169">
        <v>6</v>
      </c>
      <c r="N30" s="169"/>
      <c r="O30" s="169"/>
      <c r="P30" s="169"/>
      <c r="Q30" s="169" t="s">
        <v>73</v>
      </c>
      <c r="R30" s="169" t="s">
        <v>73</v>
      </c>
      <c r="S30" s="169" t="s">
        <v>73</v>
      </c>
      <c r="T30" s="79"/>
      <c r="U30" s="79"/>
      <c r="V30" s="1"/>
      <c r="W30" s="1"/>
      <c r="X30" s="1"/>
      <c r="Y30" s="1"/>
      <c r="Z30" s="169" t="s">
        <v>73</v>
      </c>
      <c r="AA30" s="169" t="s">
        <v>73</v>
      </c>
      <c r="AC30" s="1"/>
      <c r="AE30" s="1"/>
      <c r="AF30" s="1"/>
      <c r="AK30" s="169" t="s">
        <v>73</v>
      </c>
      <c r="AL30" s="169" t="s">
        <v>72</v>
      </c>
      <c r="AM30">
        <v>4</v>
      </c>
      <c r="AN30" s="169" t="s">
        <v>73</v>
      </c>
      <c r="AP30" s="169" t="s">
        <v>73</v>
      </c>
      <c r="AR30" s="169" t="s">
        <v>73</v>
      </c>
      <c r="AT30" s="168" t="s">
        <v>73</v>
      </c>
      <c r="AW30" s="1">
        <v>35</v>
      </c>
      <c r="AX30" s="1">
        <v>2</v>
      </c>
      <c r="AY30" s="169" t="s">
        <v>73</v>
      </c>
      <c r="AZ30" s="169" t="s">
        <v>73</v>
      </c>
      <c r="BA30" s="170" t="s">
        <v>73</v>
      </c>
      <c r="BB30" s="169">
        <v>1815</v>
      </c>
      <c r="BC30" s="102">
        <v>45634.680821759262</v>
      </c>
      <c r="BD30" s="87">
        <v>45634.639155092591</v>
      </c>
      <c r="BE30" s="169" t="s">
        <v>73</v>
      </c>
      <c r="BF30" s="169" t="s">
        <v>73</v>
      </c>
      <c r="BG30" s="169" t="s">
        <v>73</v>
      </c>
      <c r="BH30" s="169" t="s">
        <v>73</v>
      </c>
      <c r="BI30" s="169" t="s">
        <v>73</v>
      </c>
      <c r="BJ30" s="169" t="s">
        <v>73</v>
      </c>
      <c r="BK30" s="169"/>
      <c r="BL30" s="169" t="s">
        <v>73</v>
      </c>
      <c r="BM30" s="169" t="s">
        <v>73</v>
      </c>
      <c r="BN30" s="169" t="s">
        <v>73</v>
      </c>
      <c r="BO30" s="169" t="s">
        <v>73</v>
      </c>
      <c r="BP30" s="169" t="s">
        <v>73</v>
      </c>
      <c r="BQ30" s="169" t="s">
        <v>73</v>
      </c>
      <c r="BR30" s="1"/>
      <c r="BS30" s="169" t="s">
        <v>73</v>
      </c>
      <c r="BT30" s="169" t="s">
        <v>73</v>
      </c>
      <c r="BU30" s="169" t="s">
        <v>73</v>
      </c>
      <c r="BV30" s="169" t="s">
        <v>73</v>
      </c>
      <c r="BW30" s="1"/>
      <c r="BX30"/>
      <c r="BY30"/>
    </row>
    <row r="31" spans="1:77" ht="16" x14ac:dyDescent="0.2">
      <c r="A31" s="168" t="s">
        <v>135</v>
      </c>
      <c r="B31" s="168" t="s">
        <v>177</v>
      </c>
      <c r="C31" s="168" t="s">
        <v>148</v>
      </c>
      <c r="D31" s="169" t="s">
        <v>73</v>
      </c>
      <c r="E31" s="169" t="s">
        <v>72</v>
      </c>
      <c r="F31" s="169" t="s">
        <v>72</v>
      </c>
      <c r="G31" s="169" t="s">
        <v>73</v>
      </c>
      <c r="H31" s="169"/>
      <c r="I31" s="169">
        <v>4</v>
      </c>
      <c r="L31">
        <v>3</v>
      </c>
      <c r="N31" s="169"/>
      <c r="O31" s="169"/>
      <c r="P31" s="169"/>
      <c r="Q31" s="169" t="s">
        <v>73</v>
      </c>
      <c r="R31" s="169" t="s">
        <v>73</v>
      </c>
      <c r="S31" s="169" t="s">
        <v>73</v>
      </c>
      <c r="T31" s="79"/>
      <c r="U31" s="79"/>
      <c r="V31" s="1"/>
      <c r="W31" s="1"/>
      <c r="X31" s="1"/>
      <c r="Y31" s="1"/>
      <c r="Z31" s="169" t="s">
        <v>73</v>
      </c>
      <c r="AA31" s="169" t="s">
        <v>73</v>
      </c>
      <c r="AC31" s="1"/>
      <c r="AE31" s="1"/>
      <c r="AF31" s="1"/>
      <c r="AK31" s="169" t="s">
        <v>73</v>
      </c>
      <c r="AL31" s="169" t="s">
        <v>72</v>
      </c>
      <c r="AM31">
        <v>4</v>
      </c>
      <c r="AN31" s="169" t="s">
        <v>72</v>
      </c>
      <c r="AO31">
        <v>4</v>
      </c>
      <c r="AP31" s="169" t="s">
        <v>73</v>
      </c>
      <c r="AR31" s="169" t="s">
        <v>72</v>
      </c>
      <c r="AS31">
        <v>4</v>
      </c>
      <c r="AT31" s="168" t="s">
        <v>73</v>
      </c>
      <c r="AW31" s="1">
        <v>50</v>
      </c>
      <c r="AX31" s="1">
        <v>3</v>
      </c>
      <c r="AY31" s="169" t="s">
        <v>73</v>
      </c>
      <c r="AZ31" s="169" t="s">
        <v>73</v>
      </c>
      <c r="BA31" s="170" t="s">
        <v>73</v>
      </c>
      <c r="BB31" s="169">
        <v>1814</v>
      </c>
      <c r="BC31" s="102">
        <v>45631.918958333335</v>
      </c>
      <c r="BD31" s="87">
        <v>45631.877291666664</v>
      </c>
      <c r="BE31" s="169" t="s">
        <v>73</v>
      </c>
      <c r="BF31" s="169" t="s">
        <v>73</v>
      </c>
      <c r="BG31" s="169" t="s">
        <v>73</v>
      </c>
      <c r="BH31" s="169" t="s">
        <v>73</v>
      </c>
      <c r="BI31" s="169" t="s">
        <v>73</v>
      </c>
      <c r="BJ31" s="169" t="s">
        <v>73</v>
      </c>
      <c r="BK31" s="169"/>
      <c r="BL31" s="169" t="s">
        <v>73</v>
      </c>
      <c r="BM31" s="169" t="s">
        <v>73</v>
      </c>
      <c r="BN31" s="169" t="s">
        <v>73</v>
      </c>
      <c r="BO31" s="169" t="s">
        <v>73</v>
      </c>
      <c r="BP31" s="169" t="s">
        <v>73</v>
      </c>
      <c r="BQ31" s="169" t="s">
        <v>73</v>
      </c>
      <c r="BR31" s="1"/>
      <c r="BS31" s="169" t="s">
        <v>73</v>
      </c>
      <c r="BT31" s="169" t="s">
        <v>73</v>
      </c>
      <c r="BU31" s="169" t="s">
        <v>73</v>
      </c>
      <c r="BV31" s="169" t="s">
        <v>73</v>
      </c>
      <c r="BW31" s="1"/>
      <c r="BX31"/>
      <c r="BY31"/>
    </row>
    <row r="32" spans="1:77" ht="16" x14ac:dyDescent="0.2">
      <c r="A32" s="168" t="s">
        <v>135</v>
      </c>
      <c r="B32" s="168" t="s">
        <v>178</v>
      </c>
      <c r="C32" s="168" t="s">
        <v>132</v>
      </c>
      <c r="D32" s="169" t="s">
        <v>73</v>
      </c>
      <c r="E32" s="169" t="s">
        <v>72</v>
      </c>
      <c r="F32" s="169" t="s">
        <v>72</v>
      </c>
      <c r="G32" s="169" t="s">
        <v>73</v>
      </c>
      <c r="H32" s="169"/>
      <c r="I32" s="169"/>
      <c r="N32" s="169"/>
      <c r="O32" s="169"/>
      <c r="P32" s="169"/>
      <c r="Q32" s="169" t="s">
        <v>73</v>
      </c>
      <c r="R32" s="169" t="s">
        <v>73</v>
      </c>
      <c r="S32" s="169" t="s">
        <v>73</v>
      </c>
      <c r="T32" s="79"/>
      <c r="U32" s="79"/>
      <c r="V32" s="1"/>
      <c r="W32" s="1"/>
      <c r="X32" s="1"/>
      <c r="Y32" s="1"/>
      <c r="Z32" s="169" t="s">
        <v>73</v>
      </c>
      <c r="AA32" s="169" t="s">
        <v>73</v>
      </c>
      <c r="AC32" s="1"/>
      <c r="AE32" s="1"/>
      <c r="AF32" s="1"/>
      <c r="AK32" s="169" t="s">
        <v>73</v>
      </c>
      <c r="AL32" s="169" t="s">
        <v>72</v>
      </c>
      <c r="AM32">
        <v>6</v>
      </c>
      <c r="AN32" s="169" t="s">
        <v>72</v>
      </c>
      <c r="AO32">
        <v>6</v>
      </c>
      <c r="AP32" s="169" t="s">
        <v>72</v>
      </c>
      <c r="AQ32">
        <v>6</v>
      </c>
      <c r="AR32" s="169" t="s">
        <v>72</v>
      </c>
      <c r="AS32">
        <v>6</v>
      </c>
      <c r="AT32" s="168" t="s">
        <v>72</v>
      </c>
      <c r="AU32">
        <v>1</v>
      </c>
      <c r="AV32">
        <v>1</v>
      </c>
      <c r="AW32" s="1">
        <v>25</v>
      </c>
      <c r="AX32" s="1">
        <v>3</v>
      </c>
      <c r="AY32" s="169" t="s">
        <v>73</v>
      </c>
      <c r="AZ32" s="169" t="s">
        <v>73</v>
      </c>
      <c r="BA32" s="170" t="s">
        <v>73</v>
      </c>
      <c r="BB32" s="169">
        <v>1807</v>
      </c>
      <c r="BC32" s="102">
        <v>45619.272326388891</v>
      </c>
      <c r="BD32" s="87">
        <v>45631.710601851853</v>
      </c>
      <c r="BE32" s="169" t="s">
        <v>73</v>
      </c>
      <c r="BF32" s="169" t="s">
        <v>73</v>
      </c>
      <c r="BG32" s="169" t="s">
        <v>73</v>
      </c>
      <c r="BH32" s="169" t="s">
        <v>73</v>
      </c>
      <c r="BI32" s="169" t="s">
        <v>73</v>
      </c>
      <c r="BJ32" s="169" t="s">
        <v>73</v>
      </c>
      <c r="BK32" s="169"/>
      <c r="BL32" s="169" t="s">
        <v>73</v>
      </c>
      <c r="BM32" s="169" t="s">
        <v>73</v>
      </c>
      <c r="BN32" s="169" t="s">
        <v>73</v>
      </c>
      <c r="BO32" s="169" t="s">
        <v>73</v>
      </c>
      <c r="BP32" s="169" t="s">
        <v>73</v>
      </c>
      <c r="BQ32" s="169" t="s">
        <v>73</v>
      </c>
      <c r="BR32" s="1"/>
      <c r="BS32" s="169" t="s">
        <v>73</v>
      </c>
      <c r="BT32" s="169" t="s">
        <v>73</v>
      </c>
      <c r="BU32" s="169" t="s">
        <v>73</v>
      </c>
      <c r="BV32" s="169" t="s">
        <v>73</v>
      </c>
      <c r="BW32" s="1"/>
      <c r="BX32"/>
      <c r="BY32"/>
    </row>
    <row r="33" spans="1:77" ht="16" x14ac:dyDescent="0.2">
      <c r="A33" s="168" t="s">
        <v>136</v>
      </c>
      <c r="B33" s="168" t="s">
        <v>210</v>
      </c>
      <c r="C33" s="168" t="s">
        <v>211</v>
      </c>
      <c r="D33" s="169" t="s">
        <v>73</v>
      </c>
      <c r="E33" s="169" t="s">
        <v>72</v>
      </c>
      <c r="F33" s="169" t="s">
        <v>72</v>
      </c>
      <c r="G33" s="169" t="s">
        <v>73</v>
      </c>
      <c r="H33" s="169"/>
      <c r="I33" s="169">
        <v>5</v>
      </c>
      <c r="J33">
        <v>3</v>
      </c>
      <c r="N33" s="169">
        <v>4</v>
      </c>
      <c r="O33" s="169"/>
      <c r="P33" s="169"/>
      <c r="Q33" s="169" t="s">
        <v>73</v>
      </c>
      <c r="R33" s="169" t="s">
        <v>73</v>
      </c>
      <c r="S33" s="169" t="s">
        <v>73</v>
      </c>
      <c r="T33" s="79">
        <v>3</v>
      </c>
      <c r="U33" s="79">
        <v>1</v>
      </c>
      <c r="V33" s="1"/>
      <c r="W33" s="1">
        <v>3</v>
      </c>
      <c r="X33" s="1">
        <v>1</v>
      </c>
      <c r="Y33" s="1"/>
      <c r="Z33" s="169" t="s">
        <v>73</v>
      </c>
      <c r="AA33" s="169" t="s">
        <v>73</v>
      </c>
      <c r="AC33" s="1"/>
      <c r="AE33" s="1"/>
      <c r="AF33" s="1"/>
      <c r="AK33" s="169" t="s">
        <v>72</v>
      </c>
      <c r="AL33" s="169" t="s">
        <v>73</v>
      </c>
      <c r="AN33" s="169" t="s">
        <v>73</v>
      </c>
      <c r="AP33" s="169" t="s">
        <v>73</v>
      </c>
      <c r="AR33" s="169" t="s">
        <v>73</v>
      </c>
      <c r="AT33" s="168" t="s">
        <v>73</v>
      </c>
      <c r="AW33" s="1">
        <v>32</v>
      </c>
      <c r="AX33" s="1">
        <v>7</v>
      </c>
      <c r="AY33" s="169" t="s">
        <v>73</v>
      </c>
      <c r="AZ33" s="169" t="s">
        <v>73</v>
      </c>
      <c r="BA33" s="170" t="s">
        <v>73</v>
      </c>
      <c r="BB33" s="169">
        <v>1847</v>
      </c>
      <c r="BC33" s="102">
        <v>45642.810335648152</v>
      </c>
      <c r="BD33" s="87">
        <v>45642.76866898148</v>
      </c>
      <c r="BE33" s="169" t="s">
        <v>73</v>
      </c>
      <c r="BF33" s="169" t="s">
        <v>73</v>
      </c>
      <c r="BG33" s="169" t="s">
        <v>73</v>
      </c>
      <c r="BH33" s="169" t="s">
        <v>73</v>
      </c>
      <c r="BI33" s="169" t="s">
        <v>73</v>
      </c>
      <c r="BJ33" s="169" t="s">
        <v>73</v>
      </c>
      <c r="BK33" s="169"/>
      <c r="BL33" s="169" t="s">
        <v>73</v>
      </c>
      <c r="BM33" s="169" t="s">
        <v>73</v>
      </c>
      <c r="BN33" s="169" t="s">
        <v>73</v>
      </c>
      <c r="BO33" s="169" t="s">
        <v>73</v>
      </c>
      <c r="BP33" s="169" t="s">
        <v>73</v>
      </c>
      <c r="BQ33" s="169" t="s">
        <v>73</v>
      </c>
      <c r="BR33" s="1"/>
      <c r="BS33" s="169" t="s">
        <v>73</v>
      </c>
      <c r="BT33" s="169" t="s">
        <v>73</v>
      </c>
      <c r="BU33" s="169" t="s">
        <v>73</v>
      </c>
      <c r="BV33" s="169" t="s">
        <v>73</v>
      </c>
      <c r="BW33" s="1"/>
      <c r="BX33"/>
      <c r="BY33"/>
    </row>
    <row r="34" spans="1:77" ht="128" x14ac:dyDescent="0.2">
      <c r="A34" s="168" t="s">
        <v>136</v>
      </c>
      <c r="B34" s="168" t="s">
        <v>179</v>
      </c>
      <c r="C34" s="168" t="s">
        <v>170</v>
      </c>
      <c r="D34" s="169" t="s">
        <v>73</v>
      </c>
      <c r="E34" s="169" t="s">
        <v>72</v>
      </c>
      <c r="F34" s="169" t="s">
        <v>72</v>
      </c>
      <c r="G34" s="169" t="s">
        <v>73</v>
      </c>
      <c r="H34" s="169"/>
      <c r="I34" s="169"/>
      <c r="L34">
        <v>6</v>
      </c>
      <c r="N34" s="169"/>
      <c r="O34" s="169"/>
      <c r="P34" s="169"/>
      <c r="Q34" s="169" t="s">
        <v>73</v>
      </c>
      <c r="R34" s="169" t="s">
        <v>73</v>
      </c>
      <c r="S34" s="169" t="s">
        <v>73</v>
      </c>
      <c r="T34" s="79"/>
      <c r="U34" s="79">
        <v>1</v>
      </c>
      <c r="V34" s="1">
        <v>5</v>
      </c>
      <c r="W34" s="1"/>
      <c r="X34" s="1">
        <v>1</v>
      </c>
      <c r="Y34" s="1">
        <v>5</v>
      </c>
      <c r="Z34" s="169" t="s">
        <v>72</v>
      </c>
      <c r="AA34" s="169" t="s">
        <v>73</v>
      </c>
      <c r="AC34" s="1"/>
      <c r="AE34" s="1"/>
      <c r="AF34" s="1"/>
      <c r="AK34" s="169" t="s">
        <v>73</v>
      </c>
      <c r="AL34" s="169" t="s">
        <v>73</v>
      </c>
      <c r="AN34" s="169" t="s">
        <v>73</v>
      </c>
      <c r="AP34" s="169" t="s">
        <v>73</v>
      </c>
      <c r="AR34" s="169" t="s">
        <v>73</v>
      </c>
      <c r="AT34" s="168" t="s">
        <v>72</v>
      </c>
      <c r="AU34">
        <v>3</v>
      </c>
      <c r="AW34" s="1">
        <v>42</v>
      </c>
      <c r="AX34" s="1">
        <v>42</v>
      </c>
      <c r="AY34" s="169" t="s">
        <v>73</v>
      </c>
      <c r="AZ34" s="169" t="s">
        <v>73</v>
      </c>
      <c r="BA34" s="170" t="s">
        <v>160</v>
      </c>
      <c r="BB34" s="169">
        <v>1829</v>
      </c>
      <c r="BC34" s="102">
        <v>45639.322210648148</v>
      </c>
      <c r="BD34" s="87">
        <v>45639.287627314814</v>
      </c>
      <c r="BE34" s="169" t="s">
        <v>166</v>
      </c>
      <c r="BF34" s="169" t="s">
        <v>78</v>
      </c>
      <c r="BG34" s="169" t="s">
        <v>161</v>
      </c>
      <c r="BH34" s="169" t="s">
        <v>162</v>
      </c>
      <c r="BI34" s="169" t="s">
        <v>171</v>
      </c>
      <c r="BJ34" s="169" t="s">
        <v>171</v>
      </c>
      <c r="BK34" s="169">
        <v>23</v>
      </c>
      <c r="BL34" s="169" t="s">
        <v>73</v>
      </c>
      <c r="BM34" s="169" t="s">
        <v>73</v>
      </c>
      <c r="BN34" s="169" t="s">
        <v>73</v>
      </c>
      <c r="BO34" s="169" t="s">
        <v>73</v>
      </c>
      <c r="BP34" s="169" t="s">
        <v>73</v>
      </c>
      <c r="BQ34" s="169" t="s">
        <v>73</v>
      </c>
      <c r="BR34" s="1"/>
      <c r="BS34" s="169" t="s">
        <v>73</v>
      </c>
      <c r="BT34" s="169" t="s">
        <v>73</v>
      </c>
      <c r="BU34" s="169" t="s">
        <v>73</v>
      </c>
      <c r="BV34" s="169" t="s">
        <v>73</v>
      </c>
      <c r="BW34" s="1"/>
      <c r="BX34"/>
      <c r="BY34"/>
    </row>
    <row r="35" spans="1:77" ht="48" x14ac:dyDescent="0.2">
      <c r="A35" s="168" t="s">
        <v>136</v>
      </c>
      <c r="B35" s="168" t="s">
        <v>180</v>
      </c>
      <c r="C35" s="168" t="s">
        <v>157</v>
      </c>
      <c r="D35" s="169" t="s">
        <v>72</v>
      </c>
      <c r="E35" s="169" t="s">
        <v>72</v>
      </c>
      <c r="F35" s="169" t="s">
        <v>73</v>
      </c>
      <c r="G35" s="169" t="s">
        <v>73</v>
      </c>
      <c r="H35" s="169"/>
      <c r="I35" s="169"/>
      <c r="N35" s="169"/>
      <c r="O35" s="169"/>
      <c r="P35" s="169"/>
      <c r="Q35" s="169" t="s">
        <v>73</v>
      </c>
      <c r="R35" s="169" t="s">
        <v>73</v>
      </c>
      <c r="S35" s="169" t="s">
        <v>73</v>
      </c>
      <c r="T35" s="79">
        <v>4</v>
      </c>
      <c r="U35" s="79">
        <v>3</v>
      </c>
      <c r="V35" s="1"/>
      <c r="W35" s="1">
        <v>4</v>
      </c>
      <c r="X35" s="1">
        <v>3</v>
      </c>
      <c r="Y35" s="1"/>
      <c r="Z35" s="169" t="s">
        <v>73</v>
      </c>
      <c r="AA35" s="169" t="s">
        <v>73</v>
      </c>
      <c r="AC35" s="1"/>
      <c r="AE35" s="1"/>
      <c r="AF35" s="1"/>
      <c r="AK35" s="169" t="s">
        <v>73</v>
      </c>
      <c r="AL35" s="169" t="s">
        <v>73</v>
      </c>
      <c r="AN35" s="169" t="s">
        <v>73</v>
      </c>
      <c r="AP35" s="169" t="s">
        <v>73</v>
      </c>
      <c r="AR35" s="169" t="s">
        <v>73</v>
      </c>
      <c r="AT35" s="168" t="s">
        <v>73</v>
      </c>
      <c r="AW35" s="1">
        <v>0</v>
      </c>
      <c r="AX35" s="1">
        <v>0</v>
      </c>
      <c r="AY35" s="169" t="s">
        <v>73</v>
      </c>
      <c r="AZ35" s="169" t="s">
        <v>73</v>
      </c>
      <c r="BA35" s="170" t="s">
        <v>158</v>
      </c>
      <c r="BB35" s="169">
        <v>1828</v>
      </c>
      <c r="BC35" s="102">
        <v>45638.651747685188</v>
      </c>
      <c r="BD35" s="87">
        <v>45639.807164351849</v>
      </c>
      <c r="BE35" s="169" t="s">
        <v>73</v>
      </c>
      <c r="BF35" s="169" t="s">
        <v>73</v>
      </c>
      <c r="BG35" s="169" t="s">
        <v>73</v>
      </c>
      <c r="BH35" s="169" t="s">
        <v>73</v>
      </c>
      <c r="BI35" s="169" t="s">
        <v>73</v>
      </c>
      <c r="BJ35" s="169" t="s">
        <v>73</v>
      </c>
      <c r="BK35" s="169"/>
      <c r="BL35" s="169" t="s">
        <v>73</v>
      </c>
      <c r="BM35" s="169" t="s">
        <v>73</v>
      </c>
      <c r="BN35" s="169" t="s">
        <v>73</v>
      </c>
      <c r="BO35" s="169" t="s">
        <v>73</v>
      </c>
      <c r="BP35" s="169" t="s">
        <v>73</v>
      </c>
      <c r="BQ35" s="169" t="s">
        <v>73</v>
      </c>
      <c r="BR35" s="1"/>
      <c r="BS35" s="169" t="s">
        <v>73</v>
      </c>
      <c r="BT35" s="169" t="s">
        <v>73</v>
      </c>
      <c r="BU35" s="169" t="s">
        <v>73</v>
      </c>
      <c r="BV35" s="169" t="s">
        <v>73</v>
      </c>
      <c r="BW35" s="1"/>
      <c r="BX35"/>
      <c r="BY35"/>
    </row>
    <row r="36" spans="1:77" ht="128" x14ac:dyDescent="0.2">
      <c r="A36" s="168" t="s">
        <v>136</v>
      </c>
      <c r="B36" s="168" t="s">
        <v>181</v>
      </c>
      <c r="C36" s="168" t="s">
        <v>159</v>
      </c>
      <c r="D36" s="169" t="s">
        <v>73</v>
      </c>
      <c r="E36" s="169" t="s">
        <v>72</v>
      </c>
      <c r="F36" s="169" t="s">
        <v>73</v>
      </c>
      <c r="G36" s="169" t="s">
        <v>73</v>
      </c>
      <c r="H36" s="169"/>
      <c r="I36" s="169">
        <v>7</v>
      </c>
      <c r="N36" s="169"/>
      <c r="O36" s="169"/>
      <c r="P36" s="169"/>
      <c r="Q36" s="169" t="s">
        <v>73</v>
      </c>
      <c r="R36" s="169" t="s">
        <v>73</v>
      </c>
      <c r="S36" s="169" t="s">
        <v>73</v>
      </c>
      <c r="T36" s="79">
        <v>1</v>
      </c>
      <c r="U36" s="79"/>
      <c r="V36" s="1"/>
      <c r="W36" s="1">
        <v>1</v>
      </c>
      <c r="X36" s="1"/>
      <c r="Y36" s="1"/>
      <c r="Z36" s="169" t="s">
        <v>72</v>
      </c>
      <c r="AA36" s="169" t="s">
        <v>73</v>
      </c>
      <c r="AC36" s="1"/>
      <c r="AE36" s="1"/>
      <c r="AF36" s="1"/>
      <c r="AK36" s="169" t="s">
        <v>73</v>
      </c>
      <c r="AL36" s="169" t="s">
        <v>72</v>
      </c>
      <c r="AM36">
        <v>6</v>
      </c>
      <c r="AN36" s="169" t="s">
        <v>72</v>
      </c>
      <c r="AO36">
        <v>6</v>
      </c>
      <c r="AP36" s="169" t="s">
        <v>73</v>
      </c>
      <c r="AR36" s="169" t="s">
        <v>72</v>
      </c>
      <c r="AS36">
        <v>6</v>
      </c>
      <c r="AT36" s="168" t="s">
        <v>73</v>
      </c>
      <c r="AW36" s="1">
        <v>90</v>
      </c>
      <c r="AX36" s="1">
        <v>0</v>
      </c>
      <c r="AY36" s="169" t="s">
        <v>73</v>
      </c>
      <c r="AZ36" s="169" t="s">
        <v>73</v>
      </c>
      <c r="BA36" s="170" t="s">
        <v>160</v>
      </c>
      <c r="BB36" s="169">
        <v>1825</v>
      </c>
      <c r="BC36" s="102">
        <v>45637.585219907407</v>
      </c>
      <c r="BD36" s="87">
        <v>45637.543553240743</v>
      </c>
      <c r="BE36" s="169" t="s">
        <v>159</v>
      </c>
      <c r="BF36" s="169" t="s">
        <v>78</v>
      </c>
      <c r="BG36" s="169" t="s">
        <v>161</v>
      </c>
      <c r="BH36" s="169" t="s">
        <v>162</v>
      </c>
      <c r="BI36" s="169" t="s">
        <v>163</v>
      </c>
      <c r="BJ36" s="169" t="s">
        <v>163</v>
      </c>
      <c r="BK36" s="169">
        <v>62</v>
      </c>
      <c r="BL36" s="169" t="s">
        <v>73</v>
      </c>
      <c r="BM36" s="169" t="s">
        <v>73</v>
      </c>
      <c r="BN36" s="169" t="s">
        <v>73</v>
      </c>
      <c r="BO36" s="169" t="s">
        <v>73</v>
      </c>
      <c r="BP36" s="169" t="s">
        <v>73</v>
      </c>
      <c r="BQ36" s="169" t="s">
        <v>73</v>
      </c>
      <c r="BR36" s="1"/>
      <c r="BS36" s="169" t="s">
        <v>73</v>
      </c>
      <c r="BT36" s="169" t="s">
        <v>73</v>
      </c>
      <c r="BU36" s="169" t="s">
        <v>73</v>
      </c>
      <c r="BV36" s="169" t="s">
        <v>73</v>
      </c>
      <c r="BW36" s="1"/>
      <c r="BX36"/>
      <c r="BY36"/>
    </row>
    <row r="37" spans="1:77" ht="16" x14ac:dyDescent="0.2">
      <c r="A37" s="168" t="s">
        <v>136</v>
      </c>
      <c r="B37" s="168" t="s">
        <v>182</v>
      </c>
      <c r="C37" s="168" t="s">
        <v>150</v>
      </c>
      <c r="D37" s="169" t="s">
        <v>73</v>
      </c>
      <c r="E37" s="169" t="s">
        <v>72</v>
      </c>
      <c r="F37" s="169" t="s">
        <v>72</v>
      </c>
      <c r="G37" s="169" t="s">
        <v>73</v>
      </c>
      <c r="H37" s="169"/>
      <c r="I37" s="169">
        <v>3</v>
      </c>
      <c r="N37" s="169"/>
      <c r="O37" s="169"/>
      <c r="P37" s="169"/>
      <c r="Q37" s="169" t="s">
        <v>73</v>
      </c>
      <c r="R37" s="169" t="s">
        <v>73</v>
      </c>
      <c r="S37" s="169" t="s">
        <v>73</v>
      </c>
      <c r="T37" s="79"/>
      <c r="U37" s="79"/>
      <c r="V37" s="1"/>
      <c r="W37" s="1"/>
      <c r="X37" s="1"/>
      <c r="Y37" s="1"/>
      <c r="Z37" s="169" t="s">
        <v>73</v>
      </c>
      <c r="AA37" s="169" t="s">
        <v>73</v>
      </c>
      <c r="AC37" s="1"/>
      <c r="AE37" s="1"/>
      <c r="AF37" s="1"/>
      <c r="AK37" s="169" t="s">
        <v>73</v>
      </c>
      <c r="AL37" s="169" t="s">
        <v>72</v>
      </c>
      <c r="AM37">
        <v>6</v>
      </c>
      <c r="AN37" s="169" t="s">
        <v>72</v>
      </c>
      <c r="AO37">
        <v>6</v>
      </c>
      <c r="AP37" s="169" t="s">
        <v>73</v>
      </c>
      <c r="AR37" s="169" t="s">
        <v>72</v>
      </c>
      <c r="AS37">
        <v>3</v>
      </c>
      <c r="AT37" s="168" t="s">
        <v>73</v>
      </c>
      <c r="AW37" s="1">
        <v>30</v>
      </c>
      <c r="AX37" s="1">
        <v>2</v>
      </c>
      <c r="AY37" s="169" t="s">
        <v>73</v>
      </c>
      <c r="AZ37" s="169" t="s">
        <v>73</v>
      </c>
      <c r="BA37" s="170" t="s">
        <v>73</v>
      </c>
      <c r="BB37" s="169">
        <v>1818</v>
      </c>
      <c r="BC37" s="102">
        <v>45634.991388888891</v>
      </c>
      <c r="BD37" s="87">
        <v>45634.94972222222</v>
      </c>
      <c r="BE37" s="169" t="s">
        <v>73</v>
      </c>
      <c r="BF37" s="169" t="s">
        <v>73</v>
      </c>
      <c r="BG37" s="169" t="s">
        <v>73</v>
      </c>
      <c r="BH37" s="169" t="s">
        <v>73</v>
      </c>
      <c r="BI37" s="169" t="s">
        <v>73</v>
      </c>
      <c r="BJ37" s="169" t="s">
        <v>73</v>
      </c>
      <c r="BK37" s="169"/>
      <c r="BL37" s="169" t="s">
        <v>73</v>
      </c>
      <c r="BM37" s="169" t="s">
        <v>73</v>
      </c>
      <c r="BN37" s="169" t="s">
        <v>73</v>
      </c>
      <c r="BO37" s="169" t="s">
        <v>73</v>
      </c>
      <c r="BP37" s="169" t="s">
        <v>73</v>
      </c>
      <c r="BQ37" s="169" t="s">
        <v>73</v>
      </c>
      <c r="BR37" s="1"/>
      <c r="BS37" s="169" t="s">
        <v>73</v>
      </c>
      <c r="BT37" s="169" t="s">
        <v>73</v>
      </c>
      <c r="BU37" s="169" t="s">
        <v>73</v>
      </c>
      <c r="BV37" s="169" t="s">
        <v>73</v>
      </c>
      <c r="BW37" s="1"/>
      <c r="BX37"/>
      <c r="BY37"/>
    </row>
    <row r="38" spans="1:77" ht="16" x14ac:dyDescent="0.2">
      <c r="A38" s="168" t="s">
        <v>136</v>
      </c>
      <c r="B38" s="168" t="s">
        <v>183</v>
      </c>
      <c r="C38" s="168" t="s">
        <v>137</v>
      </c>
      <c r="D38" s="169" t="s">
        <v>73</v>
      </c>
      <c r="E38" s="169" t="s">
        <v>72</v>
      </c>
      <c r="F38" s="169" t="s">
        <v>72</v>
      </c>
      <c r="G38" s="169" t="s">
        <v>73</v>
      </c>
      <c r="H38" s="169"/>
      <c r="I38" s="169"/>
      <c r="N38" s="169"/>
      <c r="O38" s="169"/>
      <c r="P38" s="169"/>
      <c r="Q38" s="169" t="s">
        <v>73</v>
      </c>
      <c r="R38" s="169" t="s">
        <v>73</v>
      </c>
      <c r="S38" s="169" t="s">
        <v>73</v>
      </c>
      <c r="T38" s="79"/>
      <c r="U38" s="79"/>
      <c r="V38" s="1"/>
      <c r="W38" s="1"/>
      <c r="X38" s="1"/>
      <c r="Y38" s="1"/>
      <c r="Z38" s="169" t="s">
        <v>73</v>
      </c>
      <c r="AA38" s="169" t="s">
        <v>73</v>
      </c>
      <c r="AC38" s="1"/>
      <c r="AE38" s="1"/>
      <c r="AF38" s="1"/>
      <c r="AK38" s="169" t="s">
        <v>73</v>
      </c>
      <c r="AL38" s="169" t="s">
        <v>72</v>
      </c>
      <c r="AM38">
        <v>6</v>
      </c>
      <c r="AN38" s="169" t="s">
        <v>72</v>
      </c>
      <c r="AO38">
        <v>4</v>
      </c>
      <c r="AP38" s="169" t="s">
        <v>73</v>
      </c>
      <c r="AR38" s="169" t="s">
        <v>72</v>
      </c>
      <c r="AS38">
        <v>6</v>
      </c>
      <c r="AT38" s="168" t="s">
        <v>73</v>
      </c>
      <c r="AW38" s="1">
        <v>25</v>
      </c>
      <c r="AX38" s="1">
        <v>1</v>
      </c>
      <c r="AY38" s="169" t="s">
        <v>73</v>
      </c>
      <c r="AZ38" s="169" t="s">
        <v>73</v>
      </c>
      <c r="BA38" s="170" t="s">
        <v>73</v>
      </c>
      <c r="BB38" s="169">
        <v>1812</v>
      </c>
      <c r="BC38" s="102">
        <v>45630.948182870372</v>
      </c>
      <c r="BD38" s="87">
        <v>45631.711759259262</v>
      </c>
      <c r="BE38" s="169" t="s">
        <v>73</v>
      </c>
      <c r="BF38" s="169" t="s">
        <v>73</v>
      </c>
      <c r="BG38" s="169" t="s">
        <v>73</v>
      </c>
      <c r="BH38" s="169" t="s">
        <v>73</v>
      </c>
      <c r="BI38" s="169" t="s">
        <v>73</v>
      </c>
      <c r="BJ38" s="169" t="s">
        <v>73</v>
      </c>
      <c r="BK38" s="169"/>
      <c r="BL38" s="169" t="s">
        <v>73</v>
      </c>
      <c r="BM38" s="169" t="s">
        <v>73</v>
      </c>
      <c r="BN38" s="169" t="s">
        <v>73</v>
      </c>
      <c r="BO38" s="169" t="s">
        <v>73</v>
      </c>
      <c r="BP38" s="169" t="s">
        <v>73</v>
      </c>
      <c r="BQ38" s="169" t="s">
        <v>73</v>
      </c>
      <c r="BR38" s="1"/>
      <c r="BS38" s="169" t="s">
        <v>73</v>
      </c>
      <c r="BT38" s="169" t="s">
        <v>73</v>
      </c>
      <c r="BU38" s="169" t="s">
        <v>73</v>
      </c>
      <c r="BV38" s="169" t="s">
        <v>73</v>
      </c>
      <c r="BW38" s="1"/>
      <c r="BX38"/>
      <c r="BY38"/>
    </row>
    <row r="39" spans="1:77" ht="16" x14ac:dyDescent="0.2">
      <c r="A39" s="168" t="s">
        <v>138</v>
      </c>
      <c r="B39" s="168" t="s">
        <v>247</v>
      </c>
      <c r="C39" s="168" t="s">
        <v>248</v>
      </c>
      <c r="D39" s="169" t="s">
        <v>73</v>
      </c>
      <c r="E39" s="169" t="s">
        <v>72</v>
      </c>
      <c r="F39" s="169" t="s">
        <v>72</v>
      </c>
      <c r="G39" s="169" t="s">
        <v>73</v>
      </c>
      <c r="H39" s="169"/>
      <c r="I39" s="169">
        <v>8</v>
      </c>
      <c r="N39" s="169"/>
      <c r="O39" s="169"/>
      <c r="P39" s="169"/>
      <c r="Q39" s="169" t="s">
        <v>73</v>
      </c>
      <c r="R39" s="169" t="s">
        <v>73</v>
      </c>
      <c r="S39" s="169" t="s">
        <v>73</v>
      </c>
      <c r="T39" s="79"/>
      <c r="U39" s="79"/>
      <c r="V39" s="1"/>
      <c r="W39" s="1"/>
      <c r="X39" s="1"/>
      <c r="Y39" s="1"/>
      <c r="Z39" s="169" t="s">
        <v>73</v>
      </c>
      <c r="AA39" s="169" t="s">
        <v>73</v>
      </c>
      <c r="AC39" s="1"/>
      <c r="AE39" s="1"/>
      <c r="AF39" s="1"/>
      <c r="AK39" s="169" t="s">
        <v>73</v>
      </c>
      <c r="AL39" s="169" t="s">
        <v>73</v>
      </c>
      <c r="AN39" s="169" t="s">
        <v>73</v>
      </c>
      <c r="AP39" s="169" t="s">
        <v>73</v>
      </c>
      <c r="AR39" s="169" t="s">
        <v>73</v>
      </c>
      <c r="AT39" s="168" t="s">
        <v>72</v>
      </c>
      <c r="AU39">
        <v>1</v>
      </c>
      <c r="AW39" s="1">
        <v>35</v>
      </c>
      <c r="AX39" s="1">
        <v>4</v>
      </c>
      <c r="AY39" s="169" t="s">
        <v>73</v>
      </c>
      <c r="AZ39" s="169" t="s">
        <v>73</v>
      </c>
      <c r="BA39" s="170" t="s">
        <v>73</v>
      </c>
      <c r="BB39" s="169">
        <v>1889</v>
      </c>
      <c r="BC39" s="102">
        <v>45647.568692129629</v>
      </c>
      <c r="BD39" s="87">
        <v>45647.527025462965</v>
      </c>
      <c r="BE39" s="169" t="s">
        <v>73</v>
      </c>
      <c r="BF39" s="169" t="s">
        <v>73</v>
      </c>
      <c r="BG39" s="169" t="s">
        <v>73</v>
      </c>
      <c r="BH39" s="169" t="s">
        <v>73</v>
      </c>
      <c r="BI39" s="169" t="s">
        <v>73</v>
      </c>
      <c r="BJ39" s="169" t="s">
        <v>73</v>
      </c>
      <c r="BK39" s="169"/>
      <c r="BL39" s="169" t="s">
        <v>73</v>
      </c>
      <c r="BM39" s="169" t="s">
        <v>73</v>
      </c>
      <c r="BN39" s="169" t="s">
        <v>73</v>
      </c>
      <c r="BO39" s="169" t="s">
        <v>73</v>
      </c>
      <c r="BP39" s="169" t="s">
        <v>73</v>
      </c>
      <c r="BQ39" s="169" t="s">
        <v>73</v>
      </c>
      <c r="BR39" s="1"/>
      <c r="BS39" s="169" t="s">
        <v>73</v>
      </c>
      <c r="BT39" s="169" t="s">
        <v>73</v>
      </c>
      <c r="BU39" s="169" t="s">
        <v>73</v>
      </c>
      <c r="BV39" s="169" t="s">
        <v>73</v>
      </c>
      <c r="BW39" s="1"/>
      <c r="BX39"/>
      <c r="BY39"/>
    </row>
    <row r="40" spans="1:77" ht="16" x14ac:dyDescent="0.2">
      <c r="A40" s="168" t="s">
        <v>138</v>
      </c>
      <c r="B40" s="168" t="s">
        <v>249</v>
      </c>
      <c r="C40" s="168" t="s">
        <v>250</v>
      </c>
      <c r="D40" s="169" t="s">
        <v>73</v>
      </c>
      <c r="E40" s="169" t="s">
        <v>72</v>
      </c>
      <c r="F40" s="169" t="s">
        <v>72</v>
      </c>
      <c r="G40" s="169" t="s">
        <v>73</v>
      </c>
      <c r="H40" s="169"/>
      <c r="I40" s="169">
        <v>7</v>
      </c>
      <c r="J40">
        <v>3</v>
      </c>
      <c r="N40" s="169"/>
      <c r="O40" s="169"/>
      <c r="P40" s="169"/>
      <c r="Q40" s="169" t="s">
        <v>73</v>
      </c>
      <c r="R40" s="169" t="s">
        <v>73</v>
      </c>
      <c r="S40" s="169" t="s">
        <v>73</v>
      </c>
      <c r="T40" s="79"/>
      <c r="U40" s="79">
        <v>1</v>
      </c>
      <c r="V40" s="1"/>
      <c r="W40" s="1"/>
      <c r="X40" s="1">
        <v>1</v>
      </c>
      <c r="Y40" s="1"/>
      <c r="Z40" s="169" t="s">
        <v>72</v>
      </c>
      <c r="AA40" s="169" t="s">
        <v>73</v>
      </c>
      <c r="AC40" s="1"/>
      <c r="AE40" s="1"/>
      <c r="AF40" s="1"/>
      <c r="AK40" s="169" t="s">
        <v>73</v>
      </c>
      <c r="AL40" s="169" t="s">
        <v>72</v>
      </c>
      <c r="AM40">
        <v>6</v>
      </c>
      <c r="AN40" s="169" t="s">
        <v>73</v>
      </c>
      <c r="AP40" s="169" t="s">
        <v>73</v>
      </c>
      <c r="AR40" s="169" t="s">
        <v>72</v>
      </c>
      <c r="AS40">
        <v>5</v>
      </c>
      <c r="AT40" s="168" t="s">
        <v>72</v>
      </c>
      <c r="AU40">
        <v>2</v>
      </c>
      <c r="AW40" s="1">
        <v>25</v>
      </c>
      <c r="AX40" s="1">
        <v>4</v>
      </c>
      <c r="AY40" s="169" t="s">
        <v>73</v>
      </c>
      <c r="AZ40" s="169" t="s">
        <v>73</v>
      </c>
      <c r="BA40" s="170" t="s">
        <v>73</v>
      </c>
      <c r="BB40" s="169">
        <v>1888</v>
      </c>
      <c r="BC40" s="102">
        <v>45647.561111111114</v>
      </c>
      <c r="BD40" s="87">
        <v>45647.519444444442</v>
      </c>
      <c r="BE40" s="169" t="s">
        <v>250</v>
      </c>
      <c r="BF40" s="169" t="s">
        <v>251</v>
      </c>
      <c r="BG40" s="169" t="s">
        <v>76</v>
      </c>
      <c r="BH40" s="169" t="s">
        <v>252</v>
      </c>
      <c r="BI40" s="169" t="s">
        <v>253</v>
      </c>
      <c r="BJ40" s="169" t="s">
        <v>253</v>
      </c>
      <c r="BK40" s="169">
        <v>8</v>
      </c>
      <c r="BL40" s="169" t="s">
        <v>73</v>
      </c>
      <c r="BM40" s="169" t="s">
        <v>73</v>
      </c>
      <c r="BN40" s="169" t="s">
        <v>73</v>
      </c>
      <c r="BO40" s="169" t="s">
        <v>73</v>
      </c>
      <c r="BP40" s="169" t="s">
        <v>73</v>
      </c>
      <c r="BQ40" s="169" t="s">
        <v>73</v>
      </c>
      <c r="BR40" s="1"/>
      <c r="BS40" s="169" t="s">
        <v>73</v>
      </c>
      <c r="BT40" s="169" t="s">
        <v>73</v>
      </c>
      <c r="BU40" s="169" t="s">
        <v>73</v>
      </c>
      <c r="BV40" s="169" t="s">
        <v>73</v>
      </c>
      <c r="BW40" s="1"/>
      <c r="BX40"/>
      <c r="BY40"/>
    </row>
    <row r="41" spans="1:77" ht="16" x14ac:dyDescent="0.2">
      <c r="A41" s="168" t="s">
        <v>138</v>
      </c>
      <c r="B41" s="168" t="s">
        <v>241</v>
      </c>
      <c r="C41" s="168" t="s">
        <v>242</v>
      </c>
      <c r="D41" s="169" t="s">
        <v>73</v>
      </c>
      <c r="E41" s="169" t="s">
        <v>72</v>
      </c>
      <c r="F41" s="169" t="s">
        <v>72</v>
      </c>
      <c r="G41" s="169" t="s">
        <v>73</v>
      </c>
      <c r="H41" s="169" t="s">
        <v>72</v>
      </c>
      <c r="I41" s="169">
        <v>6</v>
      </c>
      <c r="J41">
        <v>3</v>
      </c>
      <c r="N41" s="169"/>
      <c r="O41" s="169"/>
      <c r="P41" s="169"/>
      <c r="Q41" s="169" t="s">
        <v>73</v>
      </c>
      <c r="R41" s="169" t="s">
        <v>73</v>
      </c>
      <c r="S41" s="169" t="s">
        <v>73</v>
      </c>
      <c r="T41" s="79">
        <v>1</v>
      </c>
      <c r="U41" s="79"/>
      <c r="V41" s="1"/>
      <c r="W41" s="1">
        <v>1</v>
      </c>
      <c r="X41" s="1"/>
      <c r="Y41" s="1"/>
      <c r="Z41" s="169" t="s">
        <v>73</v>
      </c>
      <c r="AA41" s="169" t="s">
        <v>73</v>
      </c>
      <c r="AC41" s="1"/>
      <c r="AE41" s="1"/>
      <c r="AF41" s="1"/>
      <c r="AK41" s="169" t="s">
        <v>73</v>
      </c>
      <c r="AL41" s="169" t="s">
        <v>72</v>
      </c>
      <c r="AM41">
        <v>6</v>
      </c>
      <c r="AN41" s="169" t="s">
        <v>72</v>
      </c>
      <c r="AO41">
        <v>6</v>
      </c>
      <c r="AP41" s="169" t="s">
        <v>73</v>
      </c>
      <c r="AR41" s="169" t="s">
        <v>72</v>
      </c>
      <c r="AS41">
        <v>6</v>
      </c>
      <c r="AT41" s="168" t="s">
        <v>72</v>
      </c>
      <c r="AU41">
        <v>4</v>
      </c>
      <c r="AW41" s="1">
        <v>46</v>
      </c>
      <c r="AX41" s="1">
        <v>18</v>
      </c>
      <c r="AY41" s="169" t="s">
        <v>73</v>
      </c>
      <c r="AZ41" s="169" t="s">
        <v>73</v>
      </c>
      <c r="BA41" s="170" t="s">
        <v>73</v>
      </c>
      <c r="BB41" s="169">
        <v>1886</v>
      </c>
      <c r="BC41" s="102">
        <v>45647.555879629632</v>
      </c>
      <c r="BD41" s="87">
        <v>45647.51421296296</v>
      </c>
      <c r="BE41" s="169" t="s">
        <v>73</v>
      </c>
      <c r="BF41" s="169" t="s">
        <v>73</v>
      </c>
      <c r="BG41" s="169" t="s">
        <v>73</v>
      </c>
      <c r="BH41" s="169" t="s">
        <v>73</v>
      </c>
      <c r="BI41" s="169" t="s">
        <v>73</v>
      </c>
      <c r="BJ41" s="169" t="s">
        <v>73</v>
      </c>
      <c r="BK41" s="169"/>
      <c r="BL41" s="169" t="s">
        <v>73</v>
      </c>
      <c r="BM41" s="169" t="s">
        <v>73</v>
      </c>
      <c r="BN41" s="169" t="s">
        <v>73</v>
      </c>
      <c r="BO41" s="169" t="s">
        <v>73</v>
      </c>
      <c r="BP41" s="169" t="s">
        <v>73</v>
      </c>
      <c r="BQ41" s="169" t="s">
        <v>73</v>
      </c>
      <c r="BR41" s="1"/>
      <c r="BS41" s="169" t="s">
        <v>73</v>
      </c>
      <c r="BT41" s="169" t="s">
        <v>73</v>
      </c>
      <c r="BU41" s="169" t="s">
        <v>73</v>
      </c>
      <c r="BV41" s="169" t="s">
        <v>73</v>
      </c>
      <c r="BW41" s="1"/>
      <c r="BX41"/>
      <c r="BY41"/>
    </row>
    <row r="42" spans="1:77" ht="16" x14ac:dyDescent="0.2">
      <c r="A42" s="168" t="s">
        <v>138</v>
      </c>
      <c r="B42" s="168" t="s">
        <v>244</v>
      </c>
      <c r="C42" s="168" t="s">
        <v>245</v>
      </c>
      <c r="D42" s="169" t="s">
        <v>73</v>
      </c>
      <c r="E42" s="169" t="s">
        <v>72</v>
      </c>
      <c r="F42" s="169" t="s">
        <v>72</v>
      </c>
      <c r="G42" s="169" t="s">
        <v>73</v>
      </c>
      <c r="H42" s="169"/>
      <c r="I42" s="169">
        <v>7</v>
      </c>
      <c r="N42" s="169"/>
      <c r="O42" s="169"/>
      <c r="P42" s="169"/>
      <c r="Q42" s="169" t="s">
        <v>73</v>
      </c>
      <c r="R42" s="169" t="s">
        <v>73</v>
      </c>
      <c r="S42" s="169" t="s">
        <v>73</v>
      </c>
      <c r="T42" s="79">
        <v>2</v>
      </c>
      <c r="U42" s="79"/>
      <c r="V42" s="1"/>
      <c r="W42" s="1">
        <v>2</v>
      </c>
      <c r="X42" s="1"/>
      <c r="Y42" s="1"/>
      <c r="Z42" s="169" t="s">
        <v>72</v>
      </c>
      <c r="AA42" s="169" t="s">
        <v>73</v>
      </c>
      <c r="AC42" s="1">
        <v>2</v>
      </c>
      <c r="AE42" s="1"/>
      <c r="AF42" s="1"/>
      <c r="AG42">
        <v>2</v>
      </c>
      <c r="AK42" s="169" t="s">
        <v>73</v>
      </c>
      <c r="AL42" s="169" t="s">
        <v>72</v>
      </c>
      <c r="AM42">
        <v>6</v>
      </c>
      <c r="AN42" s="169" t="s">
        <v>72</v>
      </c>
      <c r="AO42">
        <v>6</v>
      </c>
      <c r="AP42" s="169" t="s">
        <v>73</v>
      </c>
      <c r="AR42" s="169" t="s">
        <v>72</v>
      </c>
      <c r="AS42">
        <v>6</v>
      </c>
      <c r="AT42" s="168" t="s">
        <v>72</v>
      </c>
      <c r="AU42">
        <v>1</v>
      </c>
      <c r="AW42" s="1">
        <v>75</v>
      </c>
      <c r="AX42" s="1">
        <v>5</v>
      </c>
      <c r="AY42" s="169" t="s">
        <v>73</v>
      </c>
      <c r="AZ42" s="169" t="s">
        <v>73</v>
      </c>
      <c r="BA42" s="170" t="s">
        <v>73</v>
      </c>
      <c r="BB42" s="169">
        <v>1881</v>
      </c>
      <c r="BC42" s="102">
        <v>45647.422800925924</v>
      </c>
      <c r="BD42" s="87">
        <v>45647.44159722222</v>
      </c>
      <c r="BE42" s="169" t="s">
        <v>245</v>
      </c>
      <c r="BF42" s="169" t="s">
        <v>78</v>
      </c>
      <c r="BG42" s="169" t="s">
        <v>215</v>
      </c>
      <c r="BH42" s="169" t="s">
        <v>162</v>
      </c>
      <c r="BI42" s="169" t="s">
        <v>246</v>
      </c>
      <c r="BJ42" s="169" t="s">
        <v>246</v>
      </c>
      <c r="BK42" s="169">
        <v>35</v>
      </c>
      <c r="BL42" s="169" t="s">
        <v>73</v>
      </c>
      <c r="BM42" s="169" t="s">
        <v>73</v>
      </c>
      <c r="BN42" s="169" t="s">
        <v>73</v>
      </c>
      <c r="BO42" s="169" t="s">
        <v>73</v>
      </c>
      <c r="BP42" s="169" t="s">
        <v>73</v>
      </c>
      <c r="BQ42" s="169" t="s">
        <v>73</v>
      </c>
      <c r="BR42" s="1"/>
      <c r="BS42" s="169" t="s">
        <v>73</v>
      </c>
      <c r="BT42" s="169" t="s">
        <v>73</v>
      </c>
      <c r="BU42" s="169" t="s">
        <v>73</v>
      </c>
      <c r="BV42" s="169" t="s">
        <v>73</v>
      </c>
      <c r="BW42" s="1"/>
      <c r="BX42"/>
      <c r="BY42"/>
    </row>
    <row r="43" spans="1:77" ht="16" x14ac:dyDescent="0.2">
      <c r="A43" s="168" t="s">
        <v>138</v>
      </c>
      <c r="B43" s="168" t="s">
        <v>207</v>
      </c>
      <c r="C43" s="168" t="s">
        <v>236</v>
      </c>
      <c r="D43" s="169" t="s">
        <v>73</v>
      </c>
      <c r="E43" s="169" t="s">
        <v>72</v>
      </c>
      <c r="F43" s="169" t="s">
        <v>72</v>
      </c>
      <c r="G43" s="169" t="s">
        <v>73</v>
      </c>
      <c r="H43" s="169"/>
      <c r="I43" s="169">
        <v>7</v>
      </c>
      <c r="N43" s="169"/>
      <c r="O43" s="169"/>
      <c r="P43" s="169"/>
      <c r="Q43" s="169" t="s">
        <v>73</v>
      </c>
      <c r="R43" s="169" t="s">
        <v>73</v>
      </c>
      <c r="S43" s="169" t="s">
        <v>73</v>
      </c>
      <c r="T43" s="79"/>
      <c r="U43" s="79"/>
      <c r="V43" s="1"/>
      <c r="W43" s="1"/>
      <c r="X43" s="1"/>
      <c r="Y43" s="1"/>
      <c r="Z43" s="169" t="s">
        <v>73</v>
      </c>
      <c r="AA43" s="169" t="s">
        <v>73</v>
      </c>
      <c r="AC43" s="1"/>
      <c r="AE43" s="1"/>
      <c r="AF43" s="1"/>
      <c r="AK43" s="169" t="s">
        <v>72</v>
      </c>
      <c r="AL43" s="169" t="s">
        <v>72</v>
      </c>
      <c r="AM43">
        <v>6</v>
      </c>
      <c r="AN43" s="169" t="s">
        <v>72</v>
      </c>
      <c r="AO43">
        <v>6</v>
      </c>
      <c r="AP43" s="169" t="s">
        <v>73</v>
      </c>
      <c r="AR43" s="169" t="s">
        <v>72</v>
      </c>
      <c r="AS43">
        <v>6</v>
      </c>
      <c r="AT43" s="168" t="s">
        <v>73</v>
      </c>
      <c r="AW43" s="1">
        <v>57</v>
      </c>
      <c r="AX43" s="1">
        <v>2</v>
      </c>
      <c r="AY43" s="169" t="s">
        <v>73</v>
      </c>
      <c r="AZ43" s="169" t="s">
        <v>73</v>
      </c>
      <c r="BA43" s="170" t="s">
        <v>73</v>
      </c>
      <c r="BB43" s="169">
        <v>1877</v>
      </c>
      <c r="BC43" s="102">
        <v>45646.491331018522</v>
      </c>
      <c r="BD43" s="87">
        <v>45646.451967592591</v>
      </c>
      <c r="BE43" s="169" t="s">
        <v>73</v>
      </c>
      <c r="BF43" s="169" t="s">
        <v>73</v>
      </c>
      <c r="BG43" s="169" t="s">
        <v>73</v>
      </c>
      <c r="BH43" s="169" t="s">
        <v>73</v>
      </c>
      <c r="BI43" s="169" t="s">
        <v>73</v>
      </c>
      <c r="BJ43" s="169" t="s">
        <v>73</v>
      </c>
      <c r="BK43" s="169"/>
      <c r="BL43" s="169" t="s">
        <v>73</v>
      </c>
      <c r="BM43" s="169" t="s">
        <v>73</v>
      </c>
      <c r="BN43" s="169" t="s">
        <v>73</v>
      </c>
      <c r="BO43" s="169" t="s">
        <v>73</v>
      </c>
      <c r="BP43" s="169" t="s">
        <v>73</v>
      </c>
      <c r="BQ43" s="169" t="s">
        <v>73</v>
      </c>
      <c r="BR43" s="1"/>
      <c r="BS43" s="169" t="s">
        <v>73</v>
      </c>
      <c r="BT43" s="169" t="s">
        <v>73</v>
      </c>
      <c r="BU43" s="169" t="s">
        <v>73</v>
      </c>
      <c r="BV43" s="169" t="s">
        <v>73</v>
      </c>
      <c r="BW43" s="1"/>
      <c r="BX43"/>
      <c r="BY43"/>
    </row>
    <row r="44" spans="1:77" ht="16" x14ac:dyDescent="0.2">
      <c r="A44" s="168" t="s">
        <v>138</v>
      </c>
      <c r="B44" s="168" t="s">
        <v>231</v>
      </c>
      <c r="C44" s="168" t="s">
        <v>232</v>
      </c>
      <c r="D44" s="169" t="s">
        <v>73</v>
      </c>
      <c r="E44" s="169" t="s">
        <v>72</v>
      </c>
      <c r="F44" s="169" t="s">
        <v>72</v>
      </c>
      <c r="G44" s="169" t="s">
        <v>73</v>
      </c>
      <c r="H44" s="169"/>
      <c r="I44" s="169">
        <v>10</v>
      </c>
      <c r="N44" s="169"/>
      <c r="O44" s="169"/>
      <c r="P44" s="169"/>
      <c r="Q44" s="169" t="s">
        <v>73</v>
      </c>
      <c r="R44" s="169" t="s">
        <v>73</v>
      </c>
      <c r="S44" s="169" t="s">
        <v>73</v>
      </c>
      <c r="T44" s="79"/>
      <c r="U44" s="79"/>
      <c r="V44" s="1"/>
      <c r="W44" s="1"/>
      <c r="X44" s="1"/>
      <c r="Y44" s="1"/>
      <c r="Z44" s="169" t="s">
        <v>73</v>
      </c>
      <c r="AA44" s="169" t="s">
        <v>73</v>
      </c>
      <c r="AC44" s="1">
        <v>5</v>
      </c>
      <c r="AE44" s="1"/>
      <c r="AF44" s="1"/>
      <c r="AG44">
        <v>5</v>
      </c>
      <c r="AK44" s="169" t="s">
        <v>72</v>
      </c>
      <c r="AL44" s="169" t="s">
        <v>72</v>
      </c>
      <c r="AM44">
        <v>3</v>
      </c>
      <c r="AN44" s="169" t="s">
        <v>72</v>
      </c>
      <c r="AO44">
        <v>3</v>
      </c>
      <c r="AP44" s="169" t="s">
        <v>73</v>
      </c>
      <c r="AR44" s="169" t="s">
        <v>73</v>
      </c>
      <c r="AT44" s="168" t="s">
        <v>73</v>
      </c>
      <c r="AW44" s="1">
        <v>70</v>
      </c>
      <c r="AX44" s="1">
        <v>5</v>
      </c>
      <c r="AY44" s="169" t="s">
        <v>72</v>
      </c>
      <c r="AZ44" s="169" t="s">
        <v>73</v>
      </c>
      <c r="BA44" s="170" t="s">
        <v>73</v>
      </c>
      <c r="BB44" s="169">
        <v>1874</v>
      </c>
      <c r="BC44" s="102">
        <v>45645.469895833332</v>
      </c>
      <c r="BD44" s="87">
        <v>45645.428229166668</v>
      </c>
      <c r="BE44" s="169" t="s">
        <v>73</v>
      </c>
      <c r="BF44" s="169" t="s">
        <v>73</v>
      </c>
      <c r="BG44" s="169" t="s">
        <v>73</v>
      </c>
      <c r="BH44" s="169" t="s">
        <v>73</v>
      </c>
      <c r="BI44" s="169" t="s">
        <v>73</v>
      </c>
      <c r="BJ44" s="169" t="s">
        <v>73</v>
      </c>
      <c r="BK44" s="169"/>
      <c r="BL44" s="169" t="s">
        <v>73</v>
      </c>
      <c r="BM44" s="169" t="s">
        <v>73</v>
      </c>
      <c r="BN44" s="169" t="s">
        <v>73</v>
      </c>
      <c r="BO44" s="169" t="s">
        <v>73</v>
      </c>
      <c r="BP44" s="169" t="s">
        <v>73</v>
      </c>
      <c r="BQ44" s="169" t="s">
        <v>73</v>
      </c>
      <c r="BR44" s="1"/>
      <c r="BS44" s="169" t="s">
        <v>73</v>
      </c>
      <c r="BT44" s="169" t="s">
        <v>73</v>
      </c>
      <c r="BU44" s="169" t="s">
        <v>73</v>
      </c>
      <c r="BV44" s="169" t="s">
        <v>73</v>
      </c>
      <c r="BW44" s="1"/>
      <c r="BX44"/>
      <c r="BY44"/>
    </row>
    <row r="45" spans="1:77" ht="16" x14ac:dyDescent="0.2">
      <c r="A45" s="168" t="s">
        <v>138</v>
      </c>
      <c r="B45" s="168" t="s">
        <v>237</v>
      </c>
      <c r="C45" s="168" t="s">
        <v>238</v>
      </c>
      <c r="D45" s="169" t="s">
        <v>73</v>
      </c>
      <c r="E45" s="169" t="s">
        <v>72</v>
      </c>
      <c r="F45" s="169" t="s">
        <v>72</v>
      </c>
      <c r="G45" s="169" t="s">
        <v>73</v>
      </c>
      <c r="H45" s="169"/>
      <c r="I45" s="169">
        <v>4</v>
      </c>
      <c r="N45" s="169"/>
      <c r="O45" s="169"/>
      <c r="P45" s="169"/>
      <c r="Q45" s="169" t="s">
        <v>73</v>
      </c>
      <c r="R45" s="169" t="s">
        <v>73</v>
      </c>
      <c r="S45" s="169" t="s">
        <v>73</v>
      </c>
      <c r="T45" s="79"/>
      <c r="U45" s="79"/>
      <c r="V45" s="1"/>
      <c r="W45" s="1"/>
      <c r="X45" s="1"/>
      <c r="Y45" s="1"/>
      <c r="Z45" s="169" t="s">
        <v>73</v>
      </c>
      <c r="AA45" s="169" t="s">
        <v>73</v>
      </c>
      <c r="AC45" s="1"/>
      <c r="AE45" s="1">
        <v>1</v>
      </c>
      <c r="AF45" s="1"/>
      <c r="AI45">
        <v>1</v>
      </c>
      <c r="AK45" s="169" t="s">
        <v>73</v>
      </c>
      <c r="AL45" s="169" t="s">
        <v>72</v>
      </c>
      <c r="AM45">
        <v>6</v>
      </c>
      <c r="AN45" s="169" t="s">
        <v>72</v>
      </c>
      <c r="AO45">
        <v>6</v>
      </c>
      <c r="AP45" s="169" t="s">
        <v>73</v>
      </c>
      <c r="AR45" s="169" t="s">
        <v>72</v>
      </c>
      <c r="AS45">
        <v>6</v>
      </c>
      <c r="AT45" s="168" t="s">
        <v>73</v>
      </c>
      <c r="AW45" s="1">
        <v>6</v>
      </c>
      <c r="AX45" s="1">
        <v>0</v>
      </c>
      <c r="AY45" s="169" t="s">
        <v>73</v>
      </c>
      <c r="AZ45" s="169" t="s">
        <v>73</v>
      </c>
      <c r="BA45" s="170" t="s">
        <v>73</v>
      </c>
      <c r="BB45" s="169">
        <v>1870</v>
      </c>
      <c r="BC45" s="102">
        <v>45645.403946759259</v>
      </c>
      <c r="BD45" s="87">
        <v>45645.362280092595</v>
      </c>
      <c r="BE45" s="169" t="s">
        <v>73</v>
      </c>
      <c r="BF45" s="169" t="s">
        <v>73</v>
      </c>
      <c r="BG45" s="169" t="s">
        <v>73</v>
      </c>
      <c r="BH45" s="169" t="s">
        <v>73</v>
      </c>
      <c r="BI45" s="169" t="s">
        <v>73</v>
      </c>
      <c r="BJ45" s="169" t="s">
        <v>73</v>
      </c>
      <c r="BK45" s="169"/>
      <c r="BL45" s="169" t="s">
        <v>73</v>
      </c>
      <c r="BM45" s="169" t="s">
        <v>73</v>
      </c>
      <c r="BN45" s="169" t="s">
        <v>73</v>
      </c>
      <c r="BO45" s="169" t="s">
        <v>73</v>
      </c>
      <c r="BP45" s="169" t="s">
        <v>73</v>
      </c>
      <c r="BQ45" s="169" t="s">
        <v>73</v>
      </c>
      <c r="BR45" s="1"/>
      <c r="BS45" s="169" t="s">
        <v>73</v>
      </c>
      <c r="BT45" s="169" t="s">
        <v>73</v>
      </c>
      <c r="BU45" s="169" t="s">
        <v>73</v>
      </c>
      <c r="BV45" s="169" t="s">
        <v>73</v>
      </c>
      <c r="BW45" s="1"/>
      <c r="BX45"/>
      <c r="BY45"/>
    </row>
    <row r="46" spans="1:77" ht="16" x14ac:dyDescent="0.2">
      <c r="A46" s="168" t="s">
        <v>138</v>
      </c>
      <c r="B46" s="168" t="s">
        <v>212</v>
      </c>
      <c r="C46" s="168" t="s">
        <v>213</v>
      </c>
      <c r="D46" s="169" t="s">
        <v>73</v>
      </c>
      <c r="E46" s="169" t="s">
        <v>72</v>
      </c>
      <c r="F46" s="169" t="s">
        <v>72</v>
      </c>
      <c r="G46" s="169" t="s">
        <v>73</v>
      </c>
      <c r="H46" s="169"/>
      <c r="I46" s="169">
        <v>6</v>
      </c>
      <c r="N46" s="169"/>
      <c r="O46" s="169"/>
      <c r="P46" s="169"/>
      <c r="Q46" s="169" t="s">
        <v>73</v>
      </c>
      <c r="R46" s="169" t="s">
        <v>73</v>
      </c>
      <c r="S46" s="169" t="s">
        <v>73</v>
      </c>
      <c r="T46" s="79"/>
      <c r="U46" s="79"/>
      <c r="V46" s="1"/>
      <c r="W46" s="1"/>
      <c r="X46" s="1"/>
      <c r="Y46" s="1"/>
      <c r="Z46" s="169" t="s">
        <v>72</v>
      </c>
      <c r="AA46" s="169" t="s">
        <v>73</v>
      </c>
      <c r="AC46" s="1"/>
      <c r="AE46" s="1"/>
      <c r="AF46" s="1"/>
      <c r="AK46" s="169" t="s">
        <v>73</v>
      </c>
      <c r="AL46" s="169" t="s">
        <v>72</v>
      </c>
      <c r="AM46">
        <v>6</v>
      </c>
      <c r="AN46" s="169" t="s">
        <v>72</v>
      </c>
      <c r="AO46">
        <v>6</v>
      </c>
      <c r="AP46" s="169" t="s">
        <v>73</v>
      </c>
      <c r="AR46" s="169" t="s">
        <v>72</v>
      </c>
      <c r="AS46">
        <v>6</v>
      </c>
      <c r="AT46" s="168" t="s">
        <v>73</v>
      </c>
      <c r="AW46" s="1">
        <v>40</v>
      </c>
      <c r="AX46" s="1">
        <v>2</v>
      </c>
      <c r="AY46" s="169" t="s">
        <v>72</v>
      </c>
      <c r="AZ46" s="169" t="s">
        <v>73</v>
      </c>
      <c r="BA46" s="170" t="s">
        <v>73</v>
      </c>
      <c r="BB46" s="169">
        <v>1858</v>
      </c>
      <c r="BC46" s="102">
        <v>45643.915798611109</v>
      </c>
      <c r="BD46" s="87">
        <v>45643.874131944445</v>
      </c>
      <c r="BE46" s="169" t="s">
        <v>213</v>
      </c>
      <c r="BF46" s="169" t="s">
        <v>78</v>
      </c>
      <c r="BG46" s="169" t="s">
        <v>215</v>
      </c>
      <c r="BH46" s="169" t="s">
        <v>216</v>
      </c>
      <c r="BI46" s="169" t="s">
        <v>217</v>
      </c>
      <c r="BJ46" s="169" t="s">
        <v>218</v>
      </c>
      <c r="BK46" s="169">
        <v>10</v>
      </c>
      <c r="BL46" s="169" t="s">
        <v>73</v>
      </c>
      <c r="BM46" s="169" t="s">
        <v>73</v>
      </c>
      <c r="BN46" s="169" t="s">
        <v>73</v>
      </c>
      <c r="BO46" s="169" t="s">
        <v>73</v>
      </c>
      <c r="BP46" s="169" t="s">
        <v>73</v>
      </c>
      <c r="BQ46" s="169" t="s">
        <v>73</v>
      </c>
      <c r="BR46" s="1"/>
      <c r="BS46" s="169" t="s">
        <v>73</v>
      </c>
      <c r="BT46" s="169" t="s">
        <v>73</v>
      </c>
      <c r="BU46" s="169" t="s">
        <v>73</v>
      </c>
      <c r="BV46" s="169" t="s">
        <v>73</v>
      </c>
      <c r="BW46" s="1"/>
      <c r="BX46"/>
      <c r="BY46"/>
    </row>
    <row r="47" spans="1:77" ht="16" x14ac:dyDescent="0.2">
      <c r="A47" s="168" t="s">
        <v>138</v>
      </c>
      <c r="B47" s="168" t="s">
        <v>186</v>
      </c>
      <c r="C47" s="168" t="s">
        <v>187</v>
      </c>
      <c r="D47" s="169" t="s">
        <v>73</v>
      </c>
      <c r="E47" s="169" t="s">
        <v>72</v>
      </c>
      <c r="F47" s="169" t="s">
        <v>73</v>
      </c>
      <c r="G47" s="169" t="s">
        <v>72</v>
      </c>
      <c r="H47" s="169" t="s">
        <v>74</v>
      </c>
      <c r="I47" s="169">
        <v>6</v>
      </c>
      <c r="N47" s="169"/>
      <c r="O47" s="169"/>
      <c r="P47" s="169"/>
      <c r="Q47" s="169" t="s">
        <v>73</v>
      </c>
      <c r="R47" s="169" t="s">
        <v>73</v>
      </c>
      <c r="S47" s="169" t="s">
        <v>73</v>
      </c>
      <c r="T47" s="79">
        <v>1</v>
      </c>
      <c r="U47" s="79"/>
      <c r="V47" s="1"/>
      <c r="W47" s="1">
        <v>1</v>
      </c>
      <c r="X47" s="1"/>
      <c r="Y47" s="1"/>
      <c r="Z47" s="169" t="s">
        <v>73</v>
      </c>
      <c r="AA47" s="169" t="s">
        <v>73</v>
      </c>
      <c r="AB47">
        <v>4</v>
      </c>
      <c r="AC47" s="1">
        <v>5</v>
      </c>
      <c r="AE47" s="1"/>
      <c r="AF47" s="1"/>
      <c r="AG47">
        <v>5</v>
      </c>
      <c r="AK47" s="169" t="s">
        <v>73</v>
      </c>
      <c r="AL47" s="169" t="s">
        <v>73</v>
      </c>
      <c r="AN47" s="169" t="s">
        <v>73</v>
      </c>
      <c r="AP47" s="169" t="s">
        <v>73</v>
      </c>
      <c r="AR47" s="169" t="s">
        <v>73</v>
      </c>
      <c r="AT47" s="168" t="s">
        <v>73</v>
      </c>
      <c r="AW47" s="1">
        <v>90</v>
      </c>
      <c r="AX47" s="1">
        <v>20</v>
      </c>
      <c r="AY47" s="169" t="s">
        <v>72</v>
      </c>
      <c r="AZ47" s="169" t="s">
        <v>73</v>
      </c>
      <c r="BA47" s="170" t="s">
        <v>73</v>
      </c>
      <c r="BB47" s="169">
        <v>1849</v>
      </c>
      <c r="BC47" s="102">
        <v>45642.826678240737</v>
      </c>
      <c r="BD47" s="87">
        <v>45642.785011574073</v>
      </c>
      <c r="BE47" s="169" t="s">
        <v>73</v>
      </c>
      <c r="BF47" s="169" t="s">
        <v>73</v>
      </c>
      <c r="BG47" s="169" t="s">
        <v>73</v>
      </c>
      <c r="BH47" s="169" t="s">
        <v>73</v>
      </c>
      <c r="BI47" s="169" t="s">
        <v>73</v>
      </c>
      <c r="BJ47" s="169" t="s">
        <v>73</v>
      </c>
      <c r="BK47" s="169"/>
      <c r="BL47" s="169" t="s">
        <v>73</v>
      </c>
      <c r="BM47" s="169" t="s">
        <v>73</v>
      </c>
      <c r="BN47" s="169" t="s">
        <v>73</v>
      </c>
      <c r="BO47" s="169" t="s">
        <v>73</v>
      </c>
      <c r="BP47" s="169" t="s">
        <v>73</v>
      </c>
      <c r="BQ47" s="169" t="s">
        <v>73</v>
      </c>
      <c r="BR47" s="1"/>
      <c r="BS47" s="169" t="s">
        <v>75</v>
      </c>
      <c r="BT47" s="169" t="s">
        <v>188</v>
      </c>
      <c r="BU47" s="169" t="s">
        <v>189</v>
      </c>
      <c r="BV47" s="169" t="s">
        <v>190</v>
      </c>
      <c r="BW47" s="1">
        <v>8</v>
      </c>
      <c r="BX47"/>
      <c r="BY47"/>
    </row>
    <row r="48" spans="1:77" ht="16" x14ac:dyDescent="0.2">
      <c r="A48" s="168" t="s">
        <v>138</v>
      </c>
      <c r="B48" s="168" t="s">
        <v>210</v>
      </c>
      <c r="C48" s="168" t="s">
        <v>211</v>
      </c>
      <c r="D48" s="169" t="s">
        <v>73</v>
      </c>
      <c r="E48" s="169" t="s">
        <v>72</v>
      </c>
      <c r="F48" s="169" t="s">
        <v>72</v>
      </c>
      <c r="G48" s="169" t="s">
        <v>73</v>
      </c>
      <c r="H48" s="169"/>
      <c r="I48" s="169">
        <v>5</v>
      </c>
      <c r="J48">
        <v>3</v>
      </c>
      <c r="N48" s="169">
        <v>4</v>
      </c>
      <c r="O48" s="169"/>
      <c r="P48" s="169"/>
      <c r="Q48" s="169" t="s">
        <v>73</v>
      </c>
      <c r="R48" s="169" t="s">
        <v>73</v>
      </c>
      <c r="S48" s="169" t="s">
        <v>73</v>
      </c>
      <c r="T48" s="79">
        <v>3</v>
      </c>
      <c r="U48" s="79">
        <v>1</v>
      </c>
      <c r="V48" s="1"/>
      <c r="W48" s="1">
        <v>3</v>
      </c>
      <c r="X48" s="1">
        <v>1</v>
      </c>
      <c r="Y48" s="1"/>
      <c r="Z48" s="169" t="s">
        <v>72</v>
      </c>
      <c r="AA48" s="169" t="s">
        <v>73</v>
      </c>
      <c r="AC48" s="1"/>
      <c r="AE48" s="1"/>
      <c r="AF48" s="1"/>
      <c r="AK48" s="169" t="s">
        <v>72</v>
      </c>
      <c r="AL48" s="169" t="s">
        <v>73</v>
      </c>
      <c r="AN48" s="169" t="s">
        <v>73</v>
      </c>
      <c r="AP48" s="169" t="s">
        <v>73</v>
      </c>
      <c r="AR48" s="169" t="s">
        <v>73</v>
      </c>
      <c r="AT48" s="168" t="s">
        <v>73</v>
      </c>
      <c r="AW48" s="1">
        <v>32</v>
      </c>
      <c r="AX48" s="1">
        <v>7</v>
      </c>
      <c r="AY48" s="169" t="s">
        <v>73</v>
      </c>
      <c r="AZ48" s="169" t="s">
        <v>73</v>
      </c>
      <c r="BA48" s="170" t="s">
        <v>73</v>
      </c>
      <c r="BB48" s="169">
        <v>1848</v>
      </c>
      <c r="BC48" s="102">
        <v>45642.813136574077</v>
      </c>
      <c r="BD48" s="87">
        <v>45642.771469907406</v>
      </c>
      <c r="BE48" s="169" t="s">
        <v>211</v>
      </c>
      <c r="BF48" s="169" t="s">
        <v>219</v>
      </c>
      <c r="BG48" s="169" t="s">
        <v>215</v>
      </c>
      <c r="BH48" s="169" t="s">
        <v>216</v>
      </c>
      <c r="BI48" s="169" t="s">
        <v>220</v>
      </c>
      <c r="BJ48" s="169" t="s">
        <v>221</v>
      </c>
      <c r="BK48" s="169">
        <v>20</v>
      </c>
      <c r="BL48" s="169" t="s">
        <v>73</v>
      </c>
      <c r="BM48" s="169" t="s">
        <v>73</v>
      </c>
      <c r="BN48" s="169" t="s">
        <v>73</v>
      </c>
      <c r="BO48" s="169" t="s">
        <v>73</v>
      </c>
      <c r="BP48" s="169" t="s">
        <v>73</v>
      </c>
      <c r="BQ48" s="169" t="s">
        <v>73</v>
      </c>
      <c r="BR48" s="1"/>
      <c r="BS48" s="169" t="s">
        <v>73</v>
      </c>
      <c r="BT48" s="169" t="s">
        <v>73</v>
      </c>
      <c r="BU48" s="169" t="s">
        <v>73</v>
      </c>
      <c r="BV48" s="169" t="s">
        <v>73</v>
      </c>
      <c r="BW48" s="1"/>
      <c r="BX48"/>
      <c r="BY48"/>
    </row>
    <row r="49" spans="1:77" ht="16" x14ac:dyDescent="0.2">
      <c r="A49" s="168" t="s">
        <v>138</v>
      </c>
      <c r="B49" s="168" t="s">
        <v>203</v>
      </c>
      <c r="C49" s="168" t="s">
        <v>204</v>
      </c>
      <c r="D49" s="169" t="s">
        <v>73</v>
      </c>
      <c r="E49" s="169" t="s">
        <v>73</v>
      </c>
      <c r="F49" s="169" t="s">
        <v>73</v>
      </c>
      <c r="G49" s="169" t="s">
        <v>73</v>
      </c>
      <c r="H49" s="169"/>
      <c r="I49" s="169"/>
      <c r="N49" s="169"/>
      <c r="O49" s="169"/>
      <c r="P49" s="169"/>
      <c r="Q49" s="169" t="s">
        <v>73</v>
      </c>
      <c r="R49" s="169" t="s">
        <v>73</v>
      </c>
      <c r="S49" s="169" t="s">
        <v>73</v>
      </c>
      <c r="T49" s="79"/>
      <c r="U49" s="79"/>
      <c r="V49" s="1"/>
      <c r="W49" s="1"/>
      <c r="X49" s="1"/>
      <c r="Y49" s="1"/>
      <c r="Z49" s="169" t="s">
        <v>73</v>
      </c>
      <c r="AA49" s="169" t="s">
        <v>73</v>
      </c>
      <c r="AC49" s="1"/>
      <c r="AE49" s="1"/>
      <c r="AF49" s="1"/>
      <c r="AK49" s="169" t="s">
        <v>73</v>
      </c>
      <c r="AL49" s="169" t="s">
        <v>72</v>
      </c>
      <c r="AM49">
        <v>4</v>
      </c>
      <c r="AN49" s="169" t="s">
        <v>72</v>
      </c>
      <c r="AO49">
        <v>4</v>
      </c>
      <c r="AP49" s="169" t="s">
        <v>73</v>
      </c>
      <c r="AR49" s="169" t="s">
        <v>72</v>
      </c>
      <c r="AS49">
        <v>4</v>
      </c>
      <c r="AT49" s="168" t="s">
        <v>73</v>
      </c>
      <c r="AW49" s="1">
        <v>30</v>
      </c>
      <c r="AX49" s="1">
        <v>2</v>
      </c>
      <c r="AY49" s="169" t="s">
        <v>72</v>
      </c>
      <c r="AZ49" s="169" t="s">
        <v>73</v>
      </c>
      <c r="BA49" s="170" t="s">
        <v>73</v>
      </c>
      <c r="BB49" s="169">
        <v>1844</v>
      </c>
      <c r="BC49" s="102">
        <v>45642.667673611111</v>
      </c>
      <c r="BD49" s="87">
        <v>45642.626006944447</v>
      </c>
      <c r="BE49" s="169" t="s">
        <v>73</v>
      </c>
      <c r="BF49" s="169" t="s">
        <v>73</v>
      </c>
      <c r="BG49" s="169" t="s">
        <v>73</v>
      </c>
      <c r="BH49" s="169" t="s">
        <v>73</v>
      </c>
      <c r="BI49" s="169" t="s">
        <v>73</v>
      </c>
      <c r="BJ49" s="169" t="s">
        <v>73</v>
      </c>
      <c r="BK49" s="169"/>
      <c r="BL49" s="169" t="s">
        <v>73</v>
      </c>
      <c r="BM49" s="169" t="s">
        <v>73</v>
      </c>
      <c r="BN49" s="169" t="s">
        <v>73</v>
      </c>
      <c r="BO49" s="169" t="s">
        <v>73</v>
      </c>
      <c r="BP49" s="169" t="s">
        <v>73</v>
      </c>
      <c r="BQ49" s="169" t="s">
        <v>73</v>
      </c>
      <c r="BR49" s="1"/>
      <c r="BS49" s="169" t="s">
        <v>73</v>
      </c>
      <c r="BT49" s="169" t="s">
        <v>73</v>
      </c>
      <c r="BU49" s="169" t="s">
        <v>73</v>
      </c>
      <c r="BV49" s="169" t="s">
        <v>73</v>
      </c>
      <c r="BW49" s="1"/>
      <c r="BX49"/>
      <c r="BY49"/>
    </row>
    <row r="50" spans="1:77" ht="16" x14ac:dyDescent="0.2">
      <c r="A50" s="168" t="s">
        <v>138</v>
      </c>
      <c r="B50" s="168" t="s">
        <v>153</v>
      </c>
      <c r="C50" s="168" t="s">
        <v>154</v>
      </c>
      <c r="D50" s="169" t="s">
        <v>73</v>
      </c>
      <c r="E50" s="169" t="s">
        <v>72</v>
      </c>
      <c r="F50" s="169" t="s">
        <v>73</v>
      </c>
      <c r="G50" s="169" t="s">
        <v>73</v>
      </c>
      <c r="H50" s="169"/>
      <c r="I50" s="169"/>
      <c r="N50" s="169"/>
      <c r="O50" s="169"/>
      <c r="P50" s="169"/>
      <c r="Q50" s="169" t="s">
        <v>73</v>
      </c>
      <c r="R50" s="169" t="s">
        <v>73</v>
      </c>
      <c r="S50" s="169" t="s">
        <v>73</v>
      </c>
      <c r="T50" s="79"/>
      <c r="U50" s="79"/>
      <c r="V50" s="1"/>
      <c r="W50" s="1"/>
      <c r="X50" s="1"/>
      <c r="Y50" s="1"/>
      <c r="Z50" s="169" t="s">
        <v>73</v>
      </c>
      <c r="AA50" s="169" t="s">
        <v>73</v>
      </c>
      <c r="AC50" s="1">
        <v>5</v>
      </c>
      <c r="AE50" s="1"/>
      <c r="AF50" s="1"/>
      <c r="AG50">
        <v>4</v>
      </c>
      <c r="AK50" s="169" t="s">
        <v>73</v>
      </c>
      <c r="AL50" s="169" t="s">
        <v>73</v>
      </c>
      <c r="AN50" s="169" t="s">
        <v>73</v>
      </c>
      <c r="AP50" s="169" t="s">
        <v>73</v>
      </c>
      <c r="AR50" s="169" t="s">
        <v>73</v>
      </c>
      <c r="AT50" s="168" t="s">
        <v>73</v>
      </c>
      <c r="AW50" s="1">
        <v>35</v>
      </c>
      <c r="AX50" s="1">
        <v>10</v>
      </c>
      <c r="AY50" s="169" t="s">
        <v>72</v>
      </c>
      <c r="AZ50" s="169" t="s">
        <v>73</v>
      </c>
      <c r="BA50" s="170" t="s">
        <v>73</v>
      </c>
      <c r="BB50" s="169">
        <v>1838</v>
      </c>
      <c r="BC50" s="102">
        <v>45641.533518518518</v>
      </c>
      <c r="BD50" s="87">
        <v>45641.491851851853</v>
      </c>
      <c r="BE50" s="169" t="s">
        <v>73</v>
      </c>
      <c r="BF50" s="169" t="s">
        <v>73</v>
      </c>
      <c r="BG50" s="169" t="s">
        <v>73</v>
      </c>
      <c r="BH50" s="169" t="s">
        <v>73</v>
      </c>
      <c r="BI50" s="169" t="s">
        <v>73</v>
      </c>
      <c r="BJ50" s="169" t="s">
        <v>73</v>
      </c>
      <c r="BK50" s="169"/>
      <c r="BL50" s="169" t="s">
        <v>73</v>
      </c>
      <c r="BM50" s="169" t="s">
        <v>73</v>
      </c>
      <c r="BN50" s="169" t="s">
        <v>73</v>
      </c>
      <c r="BO50" s="169" t="s">
        <v>73</v>
      </c>
      <c r="BP50" s="169" t="s">
        <v>73</v>
      </c>
      <c r="BQ50" s="169" t="s">
        <v>73</v>
      </c>
      <c r="BR50" s="1"/>
      <c r="BS50" s="169" t="s">
        <v>73</v>
      </c>
      <c r="BT50" s="169" t="s">
        <v>73</v>
      </c>
      <c r="BU50" s="169" t="s">
        <v>73</v>
      </c>
      <c r="BV50" s="169" t="s">
        <v>73</v>
      </c>
      <c r="BW50" s="1"/>
      <c r="BX50"/>
      <c r="BY50"/>
    </row>
    <row r="51" spans="1:77" ht="16" x14ac:dyDescent="0.2">
      <c r="A51" s="168" t="s">
        <v>138</v>
      </c>
      <c r="B51" s="168" t="s">
        <v>172</v>
      </c>
      <c r="C51" s="168" t="s">
        <v>168</v>
      </c>
      <c r="D51" s="169" t="s">
        <v>73</v>
      </c>
      <c r="E51" s="169" t="s">
        <v>72</v>
      </c>
      <c r="F51" s="169" t="s">
        <v>72</v>
      </c>
      <c r="G51" s="169" t="s">
        <v>73</v>
      </c>
      <c r="H51" s="169" t="s">
        <v>72</v>
      </c>
      <c r="I51" s="169">
        <v>10</v>
      </c>
      <c r="J51">
        <v>3</v>
      </c>
      <c r="L51">
        <v>6</v>
      </c>
      <c r="N51" s="169"/>
      <c r="O51" s="169"/>
      <c r="P51" s="169"/>
      <c r="Q51" s="169" t="s">
        <v>73</v>
      </c>
      <c r="R51" s="169" t="s">
        <v>73</v>
      </c>
      <c r="S51" s="169" t="s">
        <v>73</v>
      </c>
      <c r="T51" s="79"/>
      <c r="U51" s="79"/>
      <c r="V51" s="1"/>
      <c r="W51" s="1"/>
      <c r="X51" s="1"/>
      <c r="Y51" s="1"/>
      <c r="Z51" s="169" t="s">
        <v>73</v>
      </c>
      <c r="AA51" s="169" t="s">
        <v>73</v>
      </c>
      <c r="AB51">
        <v>1</v>
      </c>
      <c r="AC51" s="1">
        <v>11</v>
      </c>
      <c r="AE51" s="1"/>
      <c r="AF51" s="1">
        <v>4</v>
      </c>
      <c r="AG51">
        <v>11</v>
      </c>
      <c r="AJ51">
        <v>4</v>
      </c>
      <c r="AK51" s="169" t="s">
        <v>73</v>
      </c>
      <c r="AL51" s="169" t="s">
        <v>73</v>
      </c>
      <c r="AN51" s="169" t="s">
        <v>73</v>
      </c>
      <c r="AP51" s="169" t="s">
        <v>73</v>
      </c>
      <c r="AR51" s="169" t="s">
        <v>73</v>
      </c>
      <c r="AT51" s="168" t="s">
        <v>73</v>
      </c>
      <c r="AW51" s="1">
        <v>105</v>
      </c>
      <c r="AX51" s="1">
        <v>26</v>
      </c>
      <c r="AY51" s="169" t="s">
        <v>73</v>
      </c>
      <c r="AZ51" s="169" t="s">
        <v>73</v>
      </c>
      <c r="BA51" s="170" t="s">
        <v>73</v>
      </c>
      <c r="BB51" s="169">
        <v>1834</v>
      </c>
      <c r="BC51" s="102">
        <v>45639.400671296295</v>
      </c>
      <c r="BD51" s="87">
        <v>45639.35900462963</v>
      </c>
      <c r="BE51" s="169" t="s">
        <v>73</v>
      </c>
      <c r="BF51" s="169" t="s">
        <v>73</v>
      </c>
      <c r="BG51" s="169" t="s">
        <v>73</v>
      </c>
      <c r="BH51" s="169" t="s">
        <v>73</v>
      </c>
      <c r="BI51" s="169" t="s">
        <v>73</v>
      </c>
      <c r="BJ51" s="169" t="s">
        <v>73</v>
      </c>
      <c r="BK51" s="169"/>
      <c r="BL51" s="169" t="s">
        <v>73</v>
      </c>
      <c r="BM51" s="169" t="s">
        <v>73</v>
      </c>
      <c r="BN51" s="169" t="s">
        <v>73</v>
      </c>
      <c r="BO51" s="169" t="s">
        <v>73</v>
      </c>
      <c r="BP51" s="169" t="s">
        <v>73</v>
      </c>
      <c r="BQ51" s="169" t="s">
        <v>73</v>
      </c>
      <c r="BR51" s="1"/>
      <c r="BS51" s="169" t="s">
        <v>169</v>
      </c>
      <c r="BT51" s="169" t="s">
        <v>196</v>
      </c>
      <c r="BU51" s="169" t="s">
        <v>197</v>
      </c>
      <c r="BV51" s="169" t="s">
        <v>198</v>
      </c>
      <c r="BW51" s="1">
        <v>16</v>
      </c>
      <c r="BX51"/>
      <c r="BY51"/>
    </row>
    <row r="52" spans="1:77" ht="128" x14ac:dyDescent="0.2">
      <c r="A52" s="168" t="s">
        <v>138</v>
      </c>
      <c r="B52" s="168" t="s">
        <v>179</v>
      </c>
      <c r="C52" s="168" t="s">
        <v>166</v>
      </c>
      <c r="D52" s="169" t="s">
        <v>73</v>
      </c>
      <c r="E52" s="169" t="s">
        <v>72</v>
      </c>
      <c r="F52" s="169" t="s">
        <v>72</v>
      </c>
      <c r="G52" s="169" t="s">
        <v>73</v>
      </c>
      <c r="H52" s="169"/>
      <c r="I52" s="169"/>
      <c r="L52">
        <v>6</v>
      </c>
      <c r="N52" s="169"/>
      <c r="O52" s="169"/>
      <c r="P52" s="169"/>
      <c r="Q52" s="169" t="s">
        <v>73</v>
      </c>
      <c r="R52" s="169" t="s">
        <v>73</v>
      </c>
      <c r="S52" s="169" t="s">
        <v>73</v>
      </c>
      <c r="T52" s="79"/>
      <c r="U52" s="79">
        <v>1</v>
      </c>
      <c r="V52" s="1">
        <v>5</v>
      </c>
      <c r="W52" s="1"/>
      <c r="X52" s="1">
        <v>1</v>
      </c>
      <c r="Y52" s="1">
        <v>5</v>
      </c>
      <c r="Z52" s="169" t="s">
        <v>72</v>
      </c>
      <c r="AA52" s="169" t="s">
        <v>73</v>
      </c>
      <c r="AC52" s="1"/>
      <c r="AE52" s="1"/>
      <c r="AF52" s="1"/>
      <c r="AK52" s="169" t="s">
        <v>73</v>
      </c>
      <c r="AL52" s="169" t="s">
        <v>73</v>
      </c>
      <c r="AN52" s="169" t="s">
        <v>73</v>
      </c>
      <c r="AP52" s="169" t="s">
        <v>73</v>
      </c>
      <c r="AR52" s="169" t="s">
        <v>73</v>
      </c>
      <c r="AT52" s="168" t="s">
        <v>72</v>
      </c>
      <c r="AU52">
        <v>3</v>
      </c>
      <c r="AW52" s="1">
        <v>42</v>
      </c>
      <c r="AX52" s="1">
        <v>42</v>
      </c>
      <c r="AY52" s="169" t="s">
        <v>73</v>
      </c>
      <c r="AZ52" s="169" t="s">
        <v>73</v>
      </c>
      <c r="BA52" s="170" t="s">
        <v>160</v>
      </c>
      <c r="BB52" s="169">
        <v>1830</v>
      </c>
      <c r="BC52" s="102">
        <v>45639.325312499997</v>
      </c>
      <c r="BD52" s="87">
        <v>45639.283645833333</v>
      </c>
      <c r="BE52" s="169" t="s">
        <v>166</v>
      </c>
      <c r="BF52" s="169" t="s">
        <v>78</v>
      </c>
      <c r="BG52" s="169" t="s">
        <v>161</v>
      </c>
      <c r="BH52" s="169" t="s">
        <v>162</v>
      </c>
      <c r="BI52" s="169" t="s">
        <v>171</v>
      </c>
      <c r="BJ52" s="169" t="s">
        <v>171</v>
      </c>
      <c r="BK52" s="169">
        <v>23</v>
      </c>
      <c r="BL52" s="169" t="s">
        <v>73</v>
      </c>
      <c r="BM52" s="169" t="s">
        <v>73</v>
      </c>
      <c r="BN52" s="169" t="s">
        <v>73</v>
      </c>
      <c r="BO52" s="169" t="s">
        <v>73</v>
      </c>
      <c r="BP52" s="169" t="s">
        <v>73</v>
      </c>
      <c r="BQ52" s="169" t="s">
        <v>73</v>
      </c>
      <c r="BR52" s="1"/>
      <c r="BS52" s="169" t="s">
        <v>73</v>
      </c>
      <c r="BT52" s="169" t="s">
        <v>73</v>
      </c>
      <c r="BU52" s="169" t="s">
        <v>73</v>
      </c>
      <c r="BV52" s="169" t="s">
        <v>73</v>
      </c>
      <c r="BW52" s="1"/>
      <c r="BX52"/>
      <c r="BY52"/>
    </row>
    <row r="53" spans="1:77" ht="128" x14ac:dyDescent="0.2">
      <c r="A53" s="168" t="s">
        <v>138</v>
      </c>
      <c r="B53" s="168" t="s">
        <v>181</v>
      </c>
      <c r="C53" s="168" t="s">
        <v>159</v>
      </c>
      <c r="D53" s="169" t="s">
        <v>73</v>
      </c>
      <c r="E53" s="169" t="s">
        <v>72</v>
      </c>
      <c r="F53" s="169" t="s">
        <v>73</v>
      </c>
      <c r="G53" s="169" t="s">
        <v>73</v>
      </c>
      <c r="H53" s="169"/>
      <c r="I53" s="169">
        <v>7</v>
      </c>
      <c r="N53" s="169"/>
      <c r="O53" s="169"/>
      <c r="P53" s="169"/>
      <c r="Q53" s="169" t="s">
        <v>73</v>
      </c>
      <c r="R53" s="169" t="s">
        <v>73</v>
      </c>
      <c r="S53" s="169" t="s">
        <v>73</v>
      </c>
      <c r="T53" s="79">
        <v>1</v>
      </c>
      <c r="U53" s="79"/>
      <c r="V53" s="1"/>
      <c r="W53" s="1">
        <v>1</v>
      </c>
      <c r="X53" s="1"/>
      <c r="Y53" s="1"/>
      <c r="Z53" s="169" t="s">
        <v>72</v>
      </c>
      <c r="AA53" s="169" t="s">
        <v>73</v>
      </c>
      <c r="AC53" s="1"/>
      <c r="AE53" s="1"/>
      <c r="AF53" s="1"/>
      <c r="AK53" s="169" t="s">
        <v>73</v>
      </c>
      <c r="AL53" s="169" t="s">
        <v>72</v>
      </c>
      <c r="AM53">
        <v>6</v>
      </c>
      <c r="AN53" s="169" t="s">
        <v>72</v>
      </c>
      <c r="AO53">
        <v>6</v>
      </c>
      <c r="AP53" s="169" t="s">
        <v>73</v>
      </c>
      <c r="AR53" s="169" t="s">
        <v>72</v>
      </c>
      <c r="AS53">
        <v>6</v>
      </c>
      <c r="AT53" s="168" t="s">
        <v>73</v>
      </c>
      <c r="AW53" s="1">
        <v>90</v>
      </c>
      <c r="AX53" s="1">
        <v>0</v>
      </c>
      <c r="AY53" s="169" t="s">
        <v>73</v>
      </c>
      <c r="AZ53" s="169" t="s">
        <v>73</v>
      </c>
      <c r="BA53" s="170" t="s">
        <v>160</v>
      </c>
      <c r="BB53" s="169">
        <v>1826</v>
      </c>
      <c r="BC53" s="102">
        <v>45637.588495370372</v>
      </c>
      <c r="BD53" s="87">
        <v>45637.5468287037</v>
      </c>
      <c r="BE53" s="169" t="s">
        <v>159</v>
      </c>
      <c r="BF53" s="169" t="s">
        <v>78</v>
      </c>
      <c r="BG53" s="169" t="s">
        <v>161</v>
      </c>
      <c r="BH53" s="169" t="s">
        <v>162</v>
      </c>
      <c r="BI53" s="169" t="s">
        <v>163</v>
      </c>
      <c r="BJ53" s="169" t="s">
        <v>163</v>
      </c>
      <c r="BK53" s="169">
        <v>62</v>
      </c>
      <c r="BL53" s="169" t="s">
        <v>73</v>
      </c>
      <c r="BM53" s="169" t="s">
        <v>73</v>
      </c>
      <c r="BN53" s="169" t="s">
        <v>73</v>
      </c>
      <c r="BO53" s="169" t="s">
        <v>73</v>
      </c>
      <c r="BP53" s="169" t="s">
        <v>73</v>
      </c>
      <c r="BQ53" s="169" t="s">
        <v>73</v>
      </c>
      <c r="BR53" s="1"/>
      <c r="BS53" s="169" t="s">
        <v>73</v>
      </c>
      <c r="BT53" s="169" t="s">
        <v>73</v>
      </c>
      <c r="BU53" s="169" t="s">
        <v>73</v>
      </c>
      <c r="BV53" s="169" t="s">
        <v>73</v>
      </c>
      <c r="BW53" s="1"/>
      <c r="BX53"/>
      <c r="BY53"/>
    </row>
    <row r="54" spans="1:77" ht="96" x14ac:dyDescent="0.2">
      <c r="A54" s="168" t="s">
        <v>138</v>
      </c>
      <c r="B54" s="168" t="s">
        <v>175</v>
      </c>
      <c r="C54" s="168" t="s">
        <v>164</v>
      </c>
      <c r="D54" s="169" t="s">
        <v>73</v>
      </c>
      <c r="E54" s="169" t="s">
        <v>72</v>
      </c>
      <c r="F54" s="169" t="s">
        <v>73</v>
      </c>
      <c r="G54" s="169" t="s">
        <v>73</v>
      </c>
      <c r="H54" s="169"/>
      <c r="I54" s="169">
        <v>8</v>
      </c>
      <c r="N54" s="169"/>
      <c r="O54" s="169"/>
      <c r="P54" s="169"/>
      <c r="Q54" s="169" t="s">
        <v>73</v>
      </c>
      <c r="R54" s="169" t="s">
        <v>73</v>
      </c>
      <c r="S54" s="169" t="s">
        <v>73</v>
      </c>
      <c r="T54" s="79"/>
      <c r="U54" s="79"/>
      <c r="V54" s="1"/>
      <c r="W54" s="1"/>
      <c r="X54" s="1"/>
      <c r="Y54" s="1"/>
      <c r="Z54" s="169" t="s">
        <v>73</v>
      </c>
      <c r="AA54" s="169" t="s">
        <v>73</v>
      </c>
      <c r="AC54" s="1"/>
      <c r="AE54" s="1"/>
      <c r="AF54" s="1"/>
      <c r="AK54" s="169" t="s">
        <v>73</v>
      </c>
      <c r="AL54" s="169" t="s">
        <v>73</v>
      </c>
      <c r="AN54" s="169" t="s">
        <v>73</v>
      </c>
      <c r="AP54" s="169" t="s">
        <v>73</v>
      </c>
      <c r="AR54" s="169" t="s">
        <v>73</v>
      </c>
      <c r="AT54" s="168" t="s">
        <v>73</v>
      </c>
      <c r="AW54" s="1">
        <v>10</v>
      </c>
      <c r="AX54" s="1">
        <v>0</v>
      </c>
      <c r="AY54" s="169" t="s">
        <v>73</v>
      </c>
      <c r="AZ54" s="169" t="s">
        <v>73</v>
      </c>
      <c r="BA54" s="170" t="s">
        <v>165</v>
      </c>
      <c r="BB54" s="169">
        <v>1822</v>
      </c>
      <c r="BC54" s="102">
        <v>45635.787199074075</v>
      </c>
      <c r="BD54" s="87">
        <v>45635.745532407411</v>
      </c>
      <c r="BE54" s="169" t="s">
        <v>73</v>
      </c>
      <c r="BF54" s="169" t="s">
        <v>73</v>
      </c>
      <c r="BG54" s="169" t="s">
        <v>73</v>
      </c>
      <c r="BH54" s="169" t="s">
        <v>73</v>
      </c>
      <c r="BI54" s="169" t="s">
        <v>73</v>
      </c>
      <c r="BJ54" s="169" t="s">
        <v>73</v>
      </c>
      <c r="BK54" s="169"/>
      <c r="BL54" s="169" t="s">
        <v>73</v>
      </c>
      <c r="BM54" s="169" t="s">
        <v>73</v>
      </c>
      <c r="BN54" s="169" t="s">
        <v>73</v>
      </c>
      <c r="BO54" s="169" t="s">
        <v>73</v>
      </c>
      <c r="BP54" s="169" t="s">
        <v>73</v>
      </c>
      <c r="BQ54" s="169" t="s">
        <v>73</v>
      </c>
      <c r="BR54" s="1"/>
      <c r="BS54" s="169" t="s">
        <v>73</v>
      </c>
      <c r="BT54" s="169" t="s">
        <v>73</v>
      </c>
      <c r="BU54" s="169" t="s">
        <v>73</v>
      </c>
      <c r="BV54" s="169" t="s">
        <v>73</v>
      </c>
      <c r="BW54" s="1"/>
      <c r="BX54"/>
      <c r="BY54"/>
    </row>
    <row r="55" spans="1:77" ht="16" x14ac:dyDescent="0.2">
      <c r="A55" s="168" t="s">
        <v>138</v>
      </c>
      <c r="B55" s="168" t="s">
        <v>182</v>
      </c>
      <c r="C55" s="168" t="s">
        <v>150</v>
      </c>
      <c r="D55" s="169" t="s">
        <v>73</v>
      </c>
      <c r="E55" s="169" t="s">
        <v>72</v>
      </c>
      <c r="F55" s="169" t="s">
        <v>72</v>
      </c>
      <c r="G55" s="169" t="s">
        <v>73</v>
      </c>
      <c r="H55" s="169"/>
      <c r="I55" s="169">
        <v>3</v>
      </c>
      <c r="N55" s="169"/>
      <c r="O55" s="169"/>
      <c r="P55" s="169"/>
      <c r="Q55" s="169" t="s">
        <v>73</v>
      </c>
      <c r="R55" s="169" t="s">
        <v>73</v>
      </c>
      <c r="S55" s="169" t="s">
        <v>73</v>
      </c>
      <c r="T55" s="79"/>
      <c r="U55" s="79"/>
      <c r="V55" s="1"/>
      <c r="W55" s="1"/>
      <c r="X55" s="1"/>
      <c r="Y55" s="1"/>
      <c r="Z55" s="169" t="s">
        <v>73</v>
      </c>
      <c r="AA55" s="169" t="s">
        <v>73</v>
      </c>
      <c r="AC55" s="1"/>
      <c r="AE55" s="1"/>
      <c r="AF55" s="1"/>
      <c r="AK55" s="169" t="s">
        <v>73</v>
      </c>
      <c r="AL55" s="169" t="s">
        <v>72</v>
      </c>
      <c r="AM55">
        <v>6</v>
      </c>
      <c r="AN55" s="169" t="s">
        <v>72</v>
      </c>
      <c r="AO55">
        <v>6</v>
      </c>
      <c r="AP55" s="169" t="s">
        <v>73</v>
      </c>
      <c r="AR55" s="169" t="s">
        <v>72</v>
      </c>
      <c r="AS55">
        <v>3</v>
      </c>
      <c r="AT55" s="168" t="s">
        <v>73</v>
      </c>
      <c r="AW55" s="1">
        <v>30</v>
      </c>
      <c r="AX55" s="1">
        <v>2</v>
      </c>
      <c r="AY55" s="169" t="s">
        <v>73</v>
      </c>
      <c r="AZ55" s="169" t="s">
        <v>73</v>
      </c>
      <c r="BA55" s="170" t="s">
        <v>73</v>
      </c>
      <c r="BB55" s="169">
        <v>1819</v>
      </c>
      <c r="BC55" s="102">
        <v>45634.99622685185</v>
      </c>
      <c r="BD55" s="87">
        <v>45634.954560185186</v>
      </c>
      <c r="BE55" s="169" t="s">
        <v>73</v>
      </c>
      <c r="BF55" s="169" t="s">
        <v>73</v>
      </c>
      <c r="BG55" s="169" t="s">
        <v>73</v>
      </c>
      <c r="BH55" s="169" t="s">
        <v>73</v>
      </c>
      <c r="BI55" s="169" t="s">
        <v>73</v>
      </c>
      <c r="BJ55" s="169" t="s">
        <v>73</v>
      </c>
      <c r="BK55" s="169"/>
      <c r="BL55" s="169" t="s">
        <v>73</v>
      </c>
      <c r="BM55" s="169" t="s">
        <v>73</v>
      </c>
      <c r="BN55" s="169" t="s">
        <v>73</v>
      </c>
      <c r="BO55" s="169" t="s">
        <v>73</v>
      </c>
      <c r="BP55" s="169" t="s">
        <v>73</v>
      </c>
      <c r="BQ55" s="169" t="s">
        <v>73</v>
      </c>
      <c r="BR55" s="1"/>
      <c r="BS55" s="169" t="s">
        <v>73</v>
      </c>
      <c r="BT55" s="169" t="s">
        <v>73</v>
      </c>
      <c r="BU55" s="169" t="s">
        <v>73</v>
      </c>
      <c r="BV55" s="169" t="s">
        <v>73</v>
      </c>
      <c r="BW55" s="1"/>
      <c r="BX55"/>
      <c r="BY55"/>
    </row>
    <row r="56" spans="1:77" ht="16" x14ac:dyDescent="0.2">
      <c r="A56" s="168" t="s">
        <v>138</v>
      </c>
      <c r="B56" s="168" t="s">
        <v>183</v>
      </c>
      <c r="C56" s="168" t="s">
        <v>137</v>
      </c>
      <c r="D56" s="169" t="s">
        <v>73</v>
      </c>
      <c r="E56" s="169" t="s">
        <v>72</v>
      </c>
      <c r="F56" s="169" t="s">
        <v>72</v>
      </c>
      <c r="G56" s="169" t="s">
        <v>73</v>
      </c>
      <c r="H56" s="169"/>
      <c r="I56" s="169"/>
      <c r="N56" s="169"/>
      <c r="O56" s="169"/>
      <c r="P56" s="169"/>
      <c r="Q56" s="169" t="s">
        <v>73</v>
      </c>
      <c r="R56" s="169" t="s">
        <v>73</v>
      </c>
      <c r="S56" s="169" t="s">
        <v>73</v>
      </c>
      <c r="T56" s="79"/>
      <c r="U56" s="79"/>
      <c r="V56" s="1"/>
      <c r="W56" s="1"/>
      <c r="X56" s="1"/>
      <c r="Y56" s="1"/>
      <c r="Z56" s="169" t="s">
        <v>73</v>
      </c>
      <c r="AA56" s="169" t="s">
        <v>73</v>
      </c>
      <c r="AC56" s="1"/>
      <c r="AE56" s="1"/>
      <c r="AF56" s="1"/>
      <c r="AK56" s="169" t="s">
        <v>73</v>
      </c>
      <c r="AL56" s="169" t="s">
        <v>72</v>
      </c>
      <c r="AM56">
        <v>6</v>
      </c>
      <c r="AN56" s="169" t="s">
        <v>72</v>
      </c>
      <c r="AO56">
        <v>4</v>
      </c>
      <c r="AP56" s="169" t="s">
        <v>73</v>
      </c>
      <c r="AR56" s="169" t="s">
        <v>72</v>
      </c>
      <c r="AS56">
        <v>5</v>
      </c>
      <c r="AT56" s="168" t="s">
        <v>73</v>
      </c>
      <c r="AW56" s="1">
        <v>16</v>
      </c>
      <c r="AX56" s="1">
        <v>1</v>
      </c>
      <c r="AY56" s="169" t="s">
        <v>73</v>
      </c>
      <c r="AZ56" s="169" t="s">
        <v>73</v>
      </c>
      <c r="BA56" s="170" t="s">
        <v>73</v>
      </c>
      <c r="BB56" s="169">
        <v>1813</v>
      </c>
      <c r="BC56" s="102">
        <v>45630.951053240744</v>
      </c>
      <c r="BD56" s="87">
        <v>45631.712673611109</v>
      </c>
      <c r="BE56" s="169" t="s">
        <v>73</v>
      </c>
      <c r="BF56" s="169" t="s">
        <v>73</v>
      </c>
      <c r="BG56" s="169" t="s">
        <v>73</v>
      </c>
      <c r="BH56" s="169" t="s">
        <v>73</v>
      </c>
      <c r="BI56" s="169" t="s">
        <v>73</v>
      </c>
      <c r="BJ56" s="169" t="s">
        <v>73</v>
      </c>
      <c r="BK56" s="169"/>
      <c r="BL56" s="169" t="s">
        <v>73</v>
      </c>
      <c r="BM56" s="169" t="s">
        <v>73</v>
      </c>
      <c r="BN56" s="169" t="s">
        <v>73</v>
      </c>
      <c r="BO56" s="169" t="s">
        <v>73</v>
      </c>
      <c r="BP56" s="169" t="s">
        <v>73</v>
      </c>
      <c r="BQ56" s="169" t="s">
        <v>73</v>
      </c>
      <c r="BR56" s="1"/>
      <c r="BS56" s="169" t="s">
        <v>73</v>
      </c>
      <c r="BT56" s="169" t="s">
        <v>73</v>
      </c>
      <c r="BU56" s="169" t="s">
        <v>73</v>
      </c>
      <c r="BV56" s="169" t="s">
        <v>73</v>
      </c>
      <c r="BW56" s="1"/>
      <c r="BX56"/>
      <c r="BY56"/>
    </row>
    <row r="57" spans="1:77" ht="16" x14ac:dyDescent="0.2">
      <c r="A57" s="168" t="s">
        <v>138</v>
      </c>
      <c r="B57" s="168" t="s">
        <v>178</v>
      </c>
      <c r="C57" s="168" t="s">
        <v>132</v>
      </c>
      <c r="D57" s="169" t="s">
        <v>73</v>
      </c>
      <c r="E57" s="169" t="s">
        <v>72</v>
      </c>
      <c r="F57" s="169" t="s">
        <v>72</v>
      </c>
      <c r="G57" s="169" t="s">
        <v>73</v>
      </c>
      <c r="H57" s="169"/>
      <c r="I57" s="169"/>
      <c r="N57" s="169"/>
      <c r="O57" s="169"/>
      <c r="P57" s="169"/>
      <c r="Q57" s="169" t="s">
        <v>73</v>
      </c>
      <c r="R57" s="169" t="s">
        <v>73</v>
      </c>
      <c r="S57" s="169" t="s">
        <v>73</v>
      </c>
      <c r="T57" s="79"/>
      <c r="U57" s="79"/>
      <c r="V57" s="1"/>
      <c r="W57" s="1"/>
      <c r="X57" s="1"/>
      <c r="Y57" s="1"/>
      <c r="Z57" s="169" t="s">
        <v>73</v>
      </c>
      <c r="AA57" s="169" t="s">
        <v>73</v>
      </c>
      <c r="AC57" s="1"/>
      <c r="AE57" s="1"/>
      <c r="AF57" s="1"/>
      <c r="AK57" s="169" t="s">
        <v>73</v>
      </c>
      <c r="AL57" s="169" t="s">
        <v>72</v>
      </c>
      <c r="AM57">
        <v>6</v>
      </c>
      <c r="AN57" s="169" t="s">
        <v>72</v>
      </c>
      <c r="AO57">
        <v>6</v>
      </c>
      <c r="AP57" s="169" t="s">
        <v>72</v>
      </c>
      <c r="AQ57">
        <v>6</v>
      </c>
      <c r="AR57" s="169" t="s">
        <v>72</v>
      </c>
      <c r="AS57">
        <v>6</v>
      </c>
      <c r="AT57" s="168" t="s">
        <v>72</v>
      </c>
      <c r="AU57">
        <v>1</v>
      </c>
      <c r="AV57">
        <v>1</v>
      </c>
      <c r="AW57" s="1">
        <v>25</v>
      </c>
      <c r="AX57" s="1">
        <v>3</v>
      </c>
      <c r="AY57" s="169" t="s">
        <v>73</v>
      </c>
      <c r="AZ57" s="169" t="s">
        <v>73</v>
      </c>
      <c r="BA57" s="170" t="s">
        <v>73</v>
      </c>
      <c r="BB57" s="169">
        <v>1808</v>
      </c>
      <c r="BC57" s="102">
        <v>45619.804212962961</v>
      </c>
      <c r="BD57" s="87">
        <v>45631.712268518517</v>
      </c>
      <c r="BE57" s="169" t="s">
        <v>73</v>
      </c>
      <c r="BF57" s="169" t="s">
        <v>73</v>
      </c>
      <c r="BG57" s="169" t="s">
        <v>73</v>
      </c>
      <c r="BH57" s="169" t="s">
        <v>73</v>
      </c>
      <c r="BI57" s="169" t="s">
        <v>73</v>
      </c>
      <c r="BJ57" s="169" t="s">
        <v>73</v>
      </c>
      <c r="BK57" s="169"/>
      <c r="BL57" s="169" t="s">
        <v>73</v>
      </c>
      <c r="BM57" s="169" t="s">
        <v>73</v>
      </c>
      <c r="BN57" s="169" t="s">
        <v>73</v>
      </c>
      <c r="BO57" s="169" t="s">
        <v>73</v>
      </c>
      <c r="BP57" s="169" t="s">
        <v>73</v>
      </c>
      <c r="BQ57" s="169" t="s">
        <v>73</v>
      </c>
      <c r="BR57" s="1"/>
      <c r="BS57" s="169" t="s">
        <v>73</v>
      </c>
      <c r="BT57" s="169" t="s">
        <v>73</v>
      </c>
      <c r="BU57" s="169" t="s">
        <v>73</v>
      </c>
      <c r="BV57" s="169" t="s">
        <v>73</v>
      </c>
      <c r="BW57" s="1"/>
      <c r="BX57"/>
      <c r="BY57"/>
    </row>
    <row r="58" spans="1:77" x14ac:dyDescent="0.2">
      <c r="A58" t="s">
        <v>79</v>
      </c>
      <c r="C58">
        <f>SUBTOTAL(103,Kringdagen[Naam vereniging])</f>
        <v>51</v>
      </c>
      <c r="D58">
        <f>COUNTIF(Kringdagen[Delegatie],"x")</f>
        <v>1</v>
      </c>
      <c r="E58" s="16">
        <f>COUNTIF(Kringdagen[Muziekkorps bij mars en defilé],"x")</f>
        <v>49</v>
      </c>
      <c r="F58" s="16">
        <f>COUNTIF(Kringdagen[Deeln. jeugdkoningschieten],"x")</f>
        <v>34</v>
      </c>
      <c r="G58" s="16">
        <f>COUNTIF(Kringdagen[Maj. Senioren jureren bij mars],"x")</f>
        <v>2</v>
      </c>
      <c r="H58" s="16">
        <f>COUNTIF(Kringdagen[Maj. Jeugd jureren bij mars],"x")</f>
        <v>4</v>
      </c>
      <c r="I58" s="16">
        <f>SUBTOTAL(103,Kringdagen[Korps senioren])</f>
        <v>38</v>
      </c>
      <c r="J58">
        <f>SUBTOTAL(103,Kringdagen[Junioren korps 1])</f>
        <v>11</v>
      </c>
      <c r="K58">
        <f>SUBTOTAL(103,Kringdagen[Junioren korps 2])</f>
        <v>0</v>
      </c>
      <c r="L58">
        <f>SUBTOTAL(103,Kringdagen[Aspiranten korps 1])</f>
        <v>8</v>
      </c>
      <c r="M58">
        <f>SUBTOTAL(103,Kringdagen[Aspiranten korps 2])</f>
        <v>1</v>
      </c>
      <c r="N58" s="16">
        <f>SUBTOTAL(103,Kringdagen[Acrobatisch senioren])</f>
        <v>4</v>
      </c>
      <c r="O58" s="16">
        <f>COUNTIF(Kringdagen[Acrobatisch junioren],"x")</f>
        <v>0</v>
      </c>
      <c r="P58" s="16">
        <f>COUNTIF(Kringdagen[Acrobatisch aspiranten],"x")</f>
        <v>0</v>
      </c>
      <c r="R58">
        <f>SUBTOTAL(103,Kringdagen[Show junioren])</f>
        <v>51</v>
      </c>
      <c r="S58">
        <f>SUBTOTAL(103,Kringdagen[Show aspiranten])</f>
        <v>51</v>
      </c>
      <c r="T58" s="79">
        <f>SUBTOTAL(109,Kringdagen[Senioren indiv.])</f>
        <v>27</v>
      </c>
      <c r="U58" s="79">
        <f>SUBTOTAL(109,Kringdagen[Junioren indiv.])</f>
        <v>9</v>
      </c>
      <c r="V58" s="1">
        <f>SUBTOTAL(109,Kringdagen[Aspiranten indiv.])</f>
        <v>10</v>
      </c>
      <c r="W58" s="1">
        <f>SUBTOTAL(109,Kringdagen[Sen. ind opgegeven namen])</f>
        <v>28</v>
      </c>
      <c r="X58" s="1">
        <f>SUBTOTAL(109,Kringdagen[Jun. ind opgegeven namen])</f>
        <v>9</v>
      </c>
      <c r="Y58" s="1">
        <f>SUBTOTAL(109,Kringdagen[Asp. ind opgegeven namen])</f>
        <v>10</v>
      </c>
      <c r="Z58" s="16">
        <f>COUNTIF(Kringdagen[Hoofdkorps],"x")</f>
        <v>9</v>
      </c>
      <c r="AA58" s="16">
        <f>COUNTIF(Kringdagen[2e korps],"x")</f>
        <v>0</v>
      </c>
      <c r="AB58">
        <f>SUBTOTAL(103,Kringdagen[Groepen, teams, ensembles en duo''s])</f>
        <v>4</v>
      </c>
      <c r="AC58">
        <f>SUBTOTAL(109,Kringdagen[Senioren])</f>
        <v>69</v>
      </c>
      <c r="AD58">
        <f>SUBTOTAL(109,Kringdagen[Jong volwassene])</f>
        <v>1</v>
      </c>
      <c r="AE58">
        <f>SUBTOTAL(109,Kringdagen[Junioren])</f>
        <v>1</v>
      </c>
      <c r="AF58">
        <f>SUBTOTAL(109,Kringdagen[Aspiranten])</f>
        <v>8</v>
      </c>
      <c r="AG58">
        <f>SUBTOTAL(109,Kringdagen[Opgegeven senioren])</f>
        <v>67</v>
      </c>
      <c r="AH58">
        <f>SUBTOTAL(109,Kringdagen[Opgegeven jong volwassene])</f>
        <v>1</v>
      </c>
      <c r="AI58">
        <f>SUBTOTAL(109,Kringdagen[Opgegeven junioren])</f>
        <v>1</v>
      </c>
      <c r="AJ58">
        <f>SUBTOTAL(109,Kringdagen[Opgegeven aspiranten])</f>
        <v>8</v>
      </c>
      <c r="AK58">
        <f>COUNTIF(Kringdagen[Acrobatisch aspiranten],"x")</f>
        <v>0</v>
      </c>
      <c r="AL58">
        <f>COUNTIF(Kringdagen[Luchtgeweer],"x")</f>
        <v>31</v>
      </c>
      <c r="AM58">
        <f>SUBTOTAL(109,Kringdagen[Aantal luchtgeweerschutters])</f>
        <v>171</v>
      </c>
      <c r="AN58">
        <f>COUNTIF(Kringdagen[Luchtpistool],"x")</f>
        <v>29</v>
      </c>
      <c r="AO58">
        <f>SUBTOTAL(109,Kringdagen[Aantal luchtpistoolschutters])</f>
        <v>155</v>
      </c>
      <c r="AP58">
        <f>COUNTIF(Kringdagen[Handboog],"x")</f>
        <v>3</v>
      </c>
      <c r="AQ58">
        <f>SUBTOTAL(109,Kringdagen[Aantal handboogschutters])</f>
        <v>18</v>
      </c>
      <c r="AR58">
        <f>COUNTIF(Kringdagen[Kruisboog],"x")</f>
        <v>27</v>
      </c>
      <c r="AS58">
        <f>SUBTOTAL(109,Kringdagen[Aantal kruisboogschutters])</f>
        <v>148</v>
      </c>
      <c r="AT58">
        <f>COUNTIF(Kringdagen[[#Headers],[#Data],[Luchtgeweer jeugd niet ouder dan 17 jaar.]],"x")</f>
        <v>12</v>
      </c>
      <c r="AU58">
        <f>SUBTOTAL(109,Kringdagen[Aantal korpsen])</f>
        <v>25</v>
      </c>
      <c r="AV58">
        <f>SUBTOTAL(109,Kringdagen[Opgegeven jeugdkorpsen LG])</f>
        <v>2</v>
      </c>
      <c r="AW58">
        <f>SUBTOTAL(109,Kringdagen[Totaal aantal deelnemers])</f>
        <v>2542</v>
      </c>
      <c r="AX58">
        <f>SUBTOTAL(109,Kringdagen[Waarvan aantal jeugd (t/m 15 jaar)])</f>
        <v>398</v>
      </c>
      <c r="AY58">
        <f>COUNTIF(Kringdagen[Kanon etc.],"x")</f>
        <v>15</v>
      </c>
      <c r="AZ58">
        <f>COUNTIF(Kringdagen[Paarden en/of koetsen],"x")</f>
        <v>4</v>
      </c>
      <c r="BQ58" s="1"/>
      <c r="BR58" s="1"/>
      <c r="BS58" s="1"/>
      <c r="BT58" s="1"/>
      <c r="BU58" s="1"/>
      <c r="BV58" s="1"/>
      <c r="BW58" s="1">
        <f>SUBTOTAL(109,Kringdagen[Aantal opgegeven majorettes])</f>
        <v>48</v>
      </c>
      <c r="BX58"/>
      <c r="BY58"/>
    </row>
    <row r="59" spans="1:77" ht="16" thickBot="1" x14ac:dyDescent="0.25">
      <c r="BX59"/>
      <c r="BY59"/>
    </row>
    <row r="60" spans="1:77" ht="16" thickTop="1" x14ac:dyDescent="0.2">
      <c r="Z60" s="119"/>
      <c r="BX60"/>
      <c r="BY60"/>
    </row>
    <row r="61" spans="1:77" x14ac:dyDescent="0.2">
      <c r="BX61"/>
      <c r="BY61"/>
    </row>
    <row r="62" spans="1:77" x14ac:dyDescent="0.2">
      <c r="BX62"/>
      <c r="BY62"/>
    </row>
    <row r="63" spans="1:77" x14ac:dyDescent="0.2">
      <c r="BX63"/>
      <c r="BY63"/>
    </row>
    <row r="64" spans="1:77" x14ac:dyDescent="0.2">
      <c r="BX64"/>
      <c r="BY64"/>
    </row>
    <row r="65" spans="76:77" x14ac:dyDescent="0.2">
      <c r="BX65"/>
      <c r="BY65"/>
    </row>
    <row r="66" spans="76:77" x14ac:dyDescent="0.2">
      <c r="BX66"/>
      <c r="BY66"/>
    </row>
    <row r="67" spans="76:77" x14ac:dyDescent="0.2">
      <c r="BX67"/>
      <c r="BY67"/>
    </row>
    <row r="68" spans="76:77" x14ac:dyDescent="0.2">
      <c r="BX68"/>
      <c r="BY68"/>
    </row>
    <row r="69" spans="76:77" x14ac:dyDescent="0.2">
      <c r="BX69"/>
      <c r="BY69"/>
    </row>
    <row r="70" spans="76:77" x14ac:dyDescent="0.2">
      <c r="BX70"/>
      <c r="BY70"/>
    </row>
    <row r="71" spans="76:77" x14ac:dyDescent="0.2">
      <c r="BX71"/>
      <c r="BY71"/>
    </row>
    <row r="72" spans="76:77" x14ac:dyDescent="0.2">
      <c r="BX72"/>
      <c r="BY72"/>
    </row>
    <row r="73" spans="76:77" x14ac:dyDescent="0.2">
      <c r="BX73"/>
      <c r="BY73"/>
    </row>
    <row r="74" spans="76:77" x14ac:dyDescent="0.2">
      <c r="BX74"/>
      <c r="BY74"/>
    </row>
    <row r="75" spans="76:77" x14ac:dyDescent="0.2">
      <c r="BX75"/>
      <c r="BY75"/>
    </row>
    <row r="76" spans="76:77" x14ac:dyDescent="0.2">
      <c r="BX76"/>
      <c r="BY76"/>
    </row>
    <row r="77" spans="76:77" x14ac:dyDescent="0.2">
      <c r="BX77"/>
      <c r="BY77"/>
    </row>
    <row r="78" spans="76:77" x14ac:dyDescent="0.2">
      <c r="BX78"/>
      <c r="BY78"/>
    </row>
    <row r="79" spans="76:77" x14ac:dyDescent="0.2">
      <c r="BX79"/>
      <c r="BY79"/>
    </row>
    <row r="80" spans="76:77" x14ac:dyDescent="0.2">
      <c r="BX80"/>
      <c r="BY80"/>
    </row>
    <row r="81" spans="76:77" x14ac:dyDescent="0.2">
      <c r="BX81"/>
      <c r="BY81"/>
    </row>
    <row r="82" spans="76:77" x14ac:dyDescent="0.2">
      <c r="BX82"/>
      <c r="BY82"/>
    </row>
    <row r="83" spans="76:77" x14ac:dyDescent="0.2">
      <c r="BX83"/>
      <c r="BY83"/>
    </row>
    <row r="84" spans="76:77" x14ac:dyDescent="0.2">
      <c r="BX84"/>
      <c r="BY84"/>
    </row>
    <row r="85" spans="76:77" x14ac:dyDescent="0.2">
      <c r="BX85"/>
      <c r="BY85"/>
    </row>
    <row r="86" spans="76:77" x14ac:dyDescent="0.2">
      <c r="BX86"/>
      <c r="BY86"/>
    </row>
    <row r="87" spans="76:77" x14ac:dyDescent="0.2">
      <c r="BX87"/>
      <c r="BY87"/>
    </row>
    <row r="88" spans="76:77" x14ac:dyDescent="0.2">
      <c r="BX88"/>
      <c r="BY88"/>
    </row>
    <row r="89" spans="76:77" x14ac:dyDescent="0.2">
      <c r="BX89"/>
      <c r="BY89"/>
    </row>
    <row r="90" spans="76:77" x14ac:dyDescent="0.2">
      <c r="BX90"/>
      <c r="BY90"/>
    </row>
    <row r="91" spans="76:77" x14ac:dyDescent="0.2">
      <c r="BX91"/>
      <c r="BY91"/>
    </row>
    <row r="92" spans="76:77" x14ac:dyDescent="0.2">
      <c r="BX92"/>
      <c r="BY92"/>
    </row>
    <row r="93" spans="76:77" x14ac:dyDescent="0.2">
      <c r="BX93"/>
      <c r="BY93"/>
    </row>
    <row r="94" spans="76:77" x14ac:dyDescent="0.2">
      <c r="BX94"/>
      <c r="BY94"/>
    </row>
    <row r="95" spans="76:77" x14ac:dyDescent="0.2">
      <c r="BX95"/>
      <c r="BY95"/>
    </row>
    <row r="96" spans="76:77" x14ac:dyDescent="0.2">
      <c r="BX96"/>
      <c r="BY96"/>
    </row>
    <row r="97" spans="76:77" x14ac:dyDescent="0.2">
      <c r="BX97"/>
      <c r="BY97"/>
    </row>
    <row r="98" spans="76:77" x14ac:dyDescent="0.2">
      <c r="BX98"/>
      <c r="BY98"/>
    </row>
    <row r="99" spans="76:77" x14ac:dyDescent="0.2">
      <c r="BX99"/>
      <c r="BY99"/>
    </row>
    <row r="100" spans="76:77" x14ac:dyDescent="0.2">
      <c r="BX100"/>
      <c r="BY100"/>
    </row>
    <row r="101" spans="76:77" x14ac:dyDescent="0.2">
      <c r="BX101"/>
      <c r="BY101"/>
    </row>
    <row r="102" spans="76:77" x14ac:dyDescent="0.2">
      <c r="BX102"/>
      <c r="BY102"/>
    </row>
    <row r="103" spans="76:77" x14ac:dyDescent="0.2">
      <c r="BX103"/>
      <c r="BY103"/>
    </row>
    <row r="104" spans="76:77" x14ac:dyDescent="0.2">
      <c r="BX104"/>
      <c r="BY104"/>
    </row>
    <row r="105" spans="76:77" x14ac:dyDescent="0.2">
      <c r="BX105"/>
      <c r="BY105"/>
    </row>
    <row r="106" spans="76:77" x14ac:dyDescent="0.2">
      <c r="BX106"/>
      <c r="BY106"/>
    </row>
    <row r="107" spans="76:77" x14ac:dyDescent="0.2">
      <c r="BX107"/>
      <c r="BY107"/>
    </row>
    <row r="108" spans="76:77" x14ac:dyDescent="0.2">
      <c r="BX108"/>
      <c r="BY108"/>
    </row>
    <row r="109" spans="76:77" x14ac:dyDescent="0.2">
      <c r="BX109"/>
      <c r="BY109"/>
    </row>
  </sheetData>
  <mergeCells count="13">
    <mergeCell ref="D3:H3"/>
    <mergeCell ref="T4:Y4"/>
    <mergeCell ref="BE4:BK4"/>
    <mergeCell ref="BL4:BR4"/>
    <mergeCell ref="BS4:BW4"/>
    <mergeCell ref="I3:Y3"/>
    <mergeCell ref="Z3:AA3"/>
    <mergeCell ref="AL3:AV3"/>
    <mergeCell ref="BE3:BR3"/>
    <mergeCell ref="BS3:BW3"/>
    <mergeCell ref="N4:P4"/>
    <mergeCell ref="Q4:S4"/>
    <mergeCell ref="AW3:BD3"/>
  </mergeCells>
  <phoneticPr fontId="2" type="noConversion"/>
  <conditionalFormatting sqref="W6:W57">
    <cfRule type="expression" dxfId="40" priority="13">
      <formula>"$r6-$u6&lt;&gt;0"</formula>
    </cfRule>
  </conditionalFormatting>
  <conditionalFormatting sqref="X6:X57">
    <cfRule type="expression" dxfId="39" priority="14">
      <formula>"$s6-$v6&lt;&gt;0"</formula>
    </cfRule>
  </conditionalFormatting>
  <conditionalFormatting sqref="Y6:Y57">
    <cfRule type="expression" dxfId="38" priority="15">
      <formula>"$t6-$w6&lt;&gt;0"</formula>
    </cfRule>
  </conditionalFormatting>
  <conditionalFormatting sqref="AG6">
    <cfRule type="expression" dxfId="37" priority="4">
      <formula>"$r6-$u6&lt;&gt;0"</formula>
    </cfRule>
  </conditionalFormatting>
  <conditionalFormatting sqref="AH6">
    <cfRule type="expression" dxfId="36" priority="3">
      <formula>"$r6-$u6&lt;&gt;0"</formula>
    </cfRule>
  </conditionalFormatting>
  <conditionalFormatting sqref="AI6">
    <cfRule type="expression" dxfId="35" priority="2">
      <formula>"$r6-$u6&lt;&gt;0"</formula>
    </cfRule>
  </conditionalFormatting>
  <conditionalFormatting sqref="AJ6">
    <cfRule type="expression" dxfId="34" priority="1">
      <formula>"$r6-$u6&lt;&gt;0"</formula>
    </cfRule>
  </conditionalFormatting>
  <conditionalFormatting sqref="AM6">
    <cfRule type="expression" dxfId="33" priority="11">
      <formula>"$r6-$u6&lt;&gt;0"</formula>
    </cfRule>
  </conditionalFormatting>
  <conditionalFormatting sqref="AO6">
    <cfRule type="expression" dxfId="32" priority="10">
      <formula>"$r6-$u6&lt;&gt;0"</formula>
    </cfRule>
  </conditionalFormatting>
  <conditionalFormatting sqref="AQ6">
    <cfRule type="expression" dxfId="31" priority="9">
      <formula>"$r6-$u6&lt;&gt;0"</formula>
    </cfRule>
  </conditionalFormatting>
  <conditionalFormatting sqref="AS6">
    <cfRule type="expression" dxfId="30" priority="8">
      <formula>"$r6-$u6&lt;&gt;0"</formula>
    </cfRule>
  </conditionalFormatting>
  <conditionalFormatting sqref="AV6">
    <cfRule type="expression" dxfId="29" priority="6">
      <formula>"$r6-$u6&lt;&gt;0"</formula>
    </cfRule>
  </conditionalFormatting>
  <pageMargins left="0.7" right="0.7" top="0.75" bottom="0.75" header="0.3" footer="0.3"/>
  <pageSetup paperSize="9" orientation="landscape" horizont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B857-9D6B-40E6-B1B5-B048A8634108}">
  <dimension ref="A1:CP25"/>
  <sheetViews>
    <sheetView zoomScale="110" zoomScaleNormal="110" workbookViewId="0">
      <pane xSplit="3" ySplit="7" topLeftCell="D8" activePane="bottomRight" state="frozen"/>
      <selection pane="topRight" activeCell="D1" sqref="D1"/>
      <selection pane="bottomLeft" activeCell="A8" sqref="A8"/>
      <selection pane="bottomRight" activeCell="E11" sqref="E11"/>
    </sheetView>
  </sheetViews>
  <sheetFormatPr baseColWidth="10" defaultColWidth="9.1640625" defaultRowHeight="15" x14ac:dyDescent="0.2"/>
  <cols>
    <col min="1" max="1" width="10.33203125" bestFit="1" customWidth="1"/>
    <col min="2" max="2" width="8.6640625" bestFit="1" customWidth="1"/>
    <col min="3" max="3" width="29" style="70" bestFit="1" customWidth="1"/>
    <col min="4" max="4" width="3.5" style="1" bestFit="1" customWidth="1"/>
    <col min="5" max="16" width="8.5" style="1" bestFit="1" customWidth="1"/>
    <col min="17" max="19" width="7.6640625" style="1" hidden="1" customWidth="1"/>
    <col min="20" max="32" width="8.5" style="1" bestFit="1" customWidth="1"/>
    <col min="33" max="35" width="3.5" style="1" bestFit="1" customWidth="1"/>
    <col min="36" max="38" width="8.5" style="1" bestFit="1" customWidth="1"/>
    <col min="39" max="39" width="3.5" style="1" bestFit="1" customWidth="1"/>
    <col min="40" max="40" width="8.5" style="1" bestFit="1" customWidth="1"/>
    <col min="41" max="41" width="3.5" style="1" bestFit="1" customWidth="1"/>
    <col min="42" max="42" width="8.5" style="1" bestFit="1" customWidth="1"/>
    <col min="43" max="43" width="3.5" style="1" bestFit="1" customWidth="1"/>
    <col min="44" max="44" width="8.5" style="61" bestFit="1" customWidth="1"/>
    <col min="45" max="45" width="3.5" bestFit="1" customWidth="1"/>
    <col min="46" max="47" width="8.5" bestFit="1" customWidth="1"/>
    <col min="48" max="48" width="3.5" bestFit="1" customWidth="1"/>
    <col min="49" max="49" width="8.5" style="63" bestFit="1" customWidth="1"/>
    <col min="50" max="50" width="8.5" style="1" bestFit="1" customWidth="1"/>
    <col min="51" max="51" width="8.5" style="86" bestFit="1" customWidth="1"/>
    <col min="52" max="52" width="8.5" bestFit="1" customWidth="1"/>
    <col min="53" max="53" width="26" bestFit="1" customWidth="1"/>
    <col min="54" max="54" width="8.5" bestFit="1" customWidth="1"/>
    <col min="55" max="55" width="10.1640625" bestFit="1" customWidth="1"/>
    <col min="56" max="56" width="15" bestFit="1" customWidth="1"/>
    <col min="57" max="63" width="8.5" bestFit="1" customWidth="1"/>
    <col min="64" max="70" width="7.6640625" hidden="1" customWidth="1"/>
    <col min="71" max="71" width="8.5" bestFit="1" customWidth="1"/>
    <col min="72" max="72" width="28.6640625" bestFit="1" customWidth="1"/>
    <col min="73" max="73" width="27.1640625" bestFit="1" customWidth="1"/>
    <col min="74" max="74" width="22.83203125" bestFit="1" customWidth="1"/>
    <col min="75" max="75" width="8.5" style="1" bestFit="1" customWidth="1"/>
    <col min="76" max="79" width="8.33203125" hidden="1" customWidth="1"/>
    <col min="80" max="81" width="8.33203125" style="33" hidden="1" customWidth="1"/>
    <col min="82" max="83" width="7.6640625" style="33" bestFit="1" customWidth="1"/>
    <col min="84" max="84" width="10.1640625" style="33" bestFit="1" customWidth="1"/>
    <col min="85" max="85" width="33" style="33" bestFit="1" customWidth="1"/>
    <col min="86" max="86" width="10.1640625" style="33" bestFit="1" customWidth="1"/>
    <col min="87" max="90" width="6.83203125" style="33" bestFit="1" customWidth="1"/>
    <col min="91" max="91" width="15.83203125" style="33" bestFit="1" customWidth="1"/>
    <col min="92" max="93" width="9.33203125" style="33" bestFit="1" customWidth="1"/>
  </cols>
  <sheetData>
    <row r="1" spans="1:94" ht="27" customHeight="1" x14ac:dyDescent="0.2">
      <c r="A1" s="142" t="s">
        <v>80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72"/>
      <c r="CE1" s="72"/>
      <c r="CF1" s="72"/>
      <c r="CG1" s="72"/>
      <c r="CH1" s="72"/>
      <c r="CI1" s="72"/>
      <c r="CJ1" s="72"/>
      <c r="CK1" s="72"/>
      <c r="CL1" s="72"/>
      <c r="CM1" s="72"/>
      <c r="CN1"/>
      <c r="CO1"/>
    </row>
    <row r="2" spans="1:94" ht="20" thickBot="1" x14ac:dyDescent="0.3">
      <c r="A2" s="143" t="s">
        <v>140</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4"/>
      <c r="BT2" s="144"/>
      <c r="BU2" s="144"/>
      <c r="BV2" s="144"/>
      <c r="BW2" s="144"/>
      <c r="BX2" s="144"/>
      <c r="BY2" s="144"/>
      <c r="BZ2" s="144"/>
      <c r="CA2" s="143"/>
      <c r="CB2" s="143"/>
      <c r="CC2" s="143"/>
      <c r="CD2" s="73"/>
      <c r="CE2" s="73"/>
      <c r="CF2" s="73"/>
      <c r="CG2" s="73"/>
      <c r="CH2" s="73"/>
      <c r="CI2" s="73"/>
      <c r="CJ2" s="73"/>
      <c r="CK2" s="73"/>
      <c r="CL2" s="73"/>
      <c r="CM2" s="73"/>
      <c r="CN2"/>
      <c r="CO2"/>
    </row>
    <row r="3" spans="1:94" ht="16" thickBot="1" x14ac:dyDescent="0.25">
      <c r="A3" s="20"/>
      <c r="B3" s="21"/>
      <c r="C3" s="127"/>
      <c r="D3" s="133" t="s">
        <v>1</v>
      </c>
      <c r="E3" s="134"/>
      <c r="F3" s="134"/>
      <c r="G3" s="134"/>
      <c r="H3" s="135"/>
      <c r="I3" s="136" t="s">
        <v>2</v>
      </c>
      <c r="J3" s="137"/>
      <c r="K3" s="137"/>
      <c r="L3" s="137"/>
      <c r="M3" s="137"/>
      <c r="N3" s="137"/>
      <c r="O3" s="137"/>
      <c r="P3" s="137"/>
      <c r="Q3" s="137"/>
      <c r="R3" s="137"/>
      <c r="S3" s="137"/>
      <c r="T3" s="137"/>
      <c r="U3" s="137"/>
      <c r="V3" s="137"/>
      <c r="W3" s="137"/>
      <c r="X3" s="137"/>
      <c r="Y3" s="138"/>
      <c r="Z3" s="133" t="s">
        <v>3</v>
      </c>
      <c r="AA3" s="135"/>
      <c r="AB3" s="26" t="s">
        <v>4</v>
      </c>
      <c r="AC3" s="95" t="s">
        <v>5</v>
      </c>
      <c r="AD3" s="96"/>
      <c r="AE3" s="96"/>
      <c r="AF3" s="96"/>
      <c r="AG3" s="96"/>
      <c r="AH3" s="96"/>
      <c r="AI3" s="96"/>
      <c r="AJ3" s="113"/>
      <c r="AK3" s="26" t="s">
        <v>6</v>
      </c>
      <c r="AL3" s="133" t="s">
        <v>7</v>
      </c>
      <c r="AM3" s="134"/>
      <c r="AN3" s="134"/>
      <c r="AO3" s="134"/>
      <c r="AP3" s="134"/>
      <c r="AQ3" s="134"/>
      <c r="AR3" s="134"/>
      <c r="AS3" s="134"/>
      <c r="AT3" s="134"/>
      <c r="AU3" s="134"/>
      <c r="AV3" s="135"/>
      <c r="AW3" s="133" t="s">
        <v>8</v>
      </c>
      <c r="AX3" s="134"/>
      <c r="AY3" s="134"/>
      <c r="AZ3" s="134"/>
      <c r="BA3" s="134"/>
      <c r="BB3" s="134"/>
      <c r="BC3" s="134"/>
      <c r="BD3" s="135"/>
      <c r="BE3" s="136" t="s">
        <v>9</v>
      </c>
      <c r="BF3" s="137"/>
      <c r="BG3" s="137"/>
      <c r="BH3" s="137"/>
      <c r="BI3" s="137"/>
      <c r="BJ3" s="137"/>
      <c r="BK3" s="137"/>
      <c r="BL3" s="137"/>
      <c r="BM3" s="137"/>
      <c r="BN3" s="137"/>
      <c r="BO3" s="137"/>
      <c r="BP3" s="137"/>
      <c r="BQ3" s="137"/>
      <c r="BR3" s="137"/>
      <c r="BS3" s="139" t="s">
        <v>10</v>
      </c>
      <c r="BT3" s="140"/>
      <c r="BU3" s="140"/>
      <c r="BV3" s="140"/>
      <c r="BW3" s="141"/>
      <c r="BX3" s="105"/>
      <c r="BY3" s="105"/>
      <c r="BZ3" s="106"/>
      <c r="CA3" s="74"/>
      <c r="CB3" s="74"/>
      <c r="CC3" s="80"/>
      <c r="CD3" s="80"/>
      <c r="CE3" s="34"/>
      <c r="CF3" s="34"/>
      <c r="CG3" s="34"/>
      <c r="CH3" s="34"/>
      <c r="CI3" s="34"/>
      <c r="CJ3" s="34"/>
      <c r="CK3"/>
      <c r="CL3"/>
      <c r="CM3"/>
      <c r="CN3"/>
      <c r="CO3"/>
    </row>
    <row r="4" spans="1:94" ht="16" thickBot="1" x14ac:dyDescent="0.25">
      <c r="A4" s="23"/>
      <c r="B4" s="24"/>
      <c r="C4" s="128"/>
      <c r="D4" s="23"/>
      <c r="E4" s="24"/>
      <c r="F4" s="24"/>
      <c r="G4" s="24"/>
      <c r="H4" s="25"/>
      <c r="I4" s="88" t="s">
        <v>11</v>
      </c>
      <c r="J4" s="110"/>
      <c r="K4" s="110"/>
      <c r="L4" s="110"/>
      <c r="M4" s="111"/>
      <c r="N4" s="136" t="s">
        <v>88</v>
      </c>
      <c r="O4" s="137"/>
      <c r="P4" s="138"/>
      <c r="Q4" s="136" t="s">
        <v>13</v>
      </c>
      <c r="R4" s="137"/>
      <c r="S4" s="138"/>
      <c r="T4" s="136" t="s">
        <v>14</v>
      </c>
      <c r="U4" s="137"/>
      <c r="V4" s="137"/>
      <c r="W4" s="137"/>
      <c r="X4" s="137"/>
      <c r="Y4" s="138"/>
      <c r="Z4" s="23"/>
      <c r="AA4" s="25"/>
      <c r="AB4" s="27"/>
      <c r="AC4" s="23"/>
      <c r="AD4" s="24"/>
      <c r="AE4" s="24"/>
      <c r="AF4" s="24"/>
      <c r="AG4" s="24"/>
      <c r="AH4" s="24"/>
      <c r="AI4" s="24"/>
      <c r="AJ4" s="25"/>
      <c r="AK4" s="27"/>
      <c r="AL4" s="23"/>
      <c r="AM4" s="24"/>
      <c r="AN4" s="24"/>
      <c r="AO4" s="24"/>
      <c r="AP4" s="24"/>
      <c r="AQ4" s="24"/>
      <c r="AR4" s="24"/>
      <c r="AS4" s="24"/>
      <c r="AT4" s="24"/>
      <c r="AU4" s="24"/>
      <c r="AV4" s="25"/>
      <c r="AW4" s="23"/>
      <c r="AX4" s="24"/>
      <c r="AY4" s="122"/>
      <c r="AZ4" s="24"/>
      <c r="BA4" s="62"/>
      <c r="BB4" s="24"/>
      <c r="BC4" s="24"/>
      <c r="BD4" s="25"/>
      <c r="BE4" s="136" t="s">
        <v>15</v>
      </c>
      <c r="BF4" s="137"/>
      <c r="BG4" s="137"/>
      <c r="BH4" s="137"/>
      <c r="BI4" s="137"/>
      <c r="BJ4" s="137"/>
      <c r="BK4" s="138"/>
      <c r="BL4" s="136" t="s">
        <v>16</v>
      </c>
      <c r="BM4" s="137"/>
      <c r="BN4" s="137"/>
      <c r="BO4" s="137"/>
      <c r="BP4" s="137"/>
      <c r="BQ4" s="137"/>
      <c r="BR4" s="138"/>
      <c r="BS4" s="136"/>
      <c r="BT4" s="137"/>
      <c r="BU4" s="137"/>
      <c r="BV4" s="137"/>
      <c r="BW4" s="138"/>
      <c r="BX4" s="80"/>
      <c r="BY4" s="80"/>
      <c r="BZ4" s="34"/>
      <c r="CA4" s="34"/>
      <c r="CB4" s="34"/>
      <c r="CC4" s="34"/>
      <c r="CD4" s="34"/>
      <c r="CE4" s="34"/>
      <c r="CF4"/>
      <c r="CG4"/>
      <c r="CH4"/>
      <c r="CI4"/>
      <c r="CJ4"/>
      <c r="CK4"/>
      <c r="CL4"/>
      <c r="CM4"/>
      <c r="CN4"/>
      <c r="CO4"/>
    </row>
    <row r="5" spans="1:94" ht="16" hidden="1" thickBot="1" x14ac:dyDescent="0.25">
      <c r="AR5" s="63"/>
      <c r="AS5" s="1"/>
      <c r="AT5" s="1"/>
      <c r="AU5" s="1"/>
      <c r="AV5" s="1"/>
      <c r="AZ5" s="1"/>
      <c r="BA5" s="1"/>
      <c r="BB5" s="1"/>
      <c r="BC5" s="1"/>
      <c r="BD5" s="1"/>
      <c r="BE5" s="1"/>
      <c r="BF5" s="1"/>
      <c r="BG5" s="1"/>
      <c r="BH5" s="1"/>
      <c r="BI5" s="1"/>
      <c r="BJ5" s="1"/>
      <c r="BK5" s="1"/>
      <c r="BL5" s="1"/>
      <c r="BM5" s="1"/>
      <c r="BN5" s="1"/>
      <c r="BO5" s="1"/>
      <c r="BP5" s="1"/>
      <c r="BQ5" s="1"/>
      <c r="BR5" s="1"/>
      <c r="BS5" s="1"/>
      <c r="BT5" s="1"/>
      <c r="BU5" s="1"/>
      <c r="BV5" s="1"/>
      <c r="BX5" s="1"/>
      <c r="BY5" s="1"/>
      <c r="BZ5" s="1"/>
      <c r="CA5" s="1"/>
      <c r="CB5" s="1"/>
      <c r="CC5" s="1"/>
      <c r="CD5" s="1"/>
      <c r="CE5" s="1"/>
      <c r="CF5" s="1"/>
      <c r="CG5" s="1"/>
      <c r="CH5" s="1"/>
      <c r="CI5" s="1"/>
      <c r="CJ5" s="1"/>
      <c r="CK5" s="1"/>
      <c r="CL5" s="1"/>
      <c r="CM5" s="1"/>
      <c r="CN5" s="1"/>
      <c r="CO5" s="1"/>
      <c r="CP5" s="1"/>
    </row>
    <row r="6" spans="1:94" ht="16" hidden="1" thickBot="1" x14ac:dyDescent="0.25"/>
    <row r="7" spans="1:94" s="2" customFormat="1" ht="218" thickBot="1" x14ac:dyDescent="0.25">
      <c r="A7" s="6" t="s">
        <v>17</v>
      </c>
      <c r="B7" s="7" t="s">
        <v>18</v>
      </c>
      <c r="C7" s="129" t="s">
        <v>19</v>
      </c>
      <c r="D7" s="3" t="s">
        <v>20</v>
      </c>
      <c r="E7" s="4" t="s">
        <v>21</v>
      </c>
      <c r="F7" s="4" t="s">
        <v>22</v>
      </c>
      <c r="G7" s="4" t="s">
        <v>23</v>
      </c>
      <c r="H7" s="4" t="s">
        <v>24</v>
      </c>
      <c r="I7" s="9" t="s">
        <v>25</v>
      </c>
      <c r="J7" s="10" t="s">
        <v>126</v>
      </c>
      <c r="K7" s="10" t="s">
        <v>127</v>
      </c>
      <c r="L7" s="10" t="s">
        <v>128</v>
      </c>
      <c r="M7" s="11" t="s">
        <v>129</v>
      </c>
      <c r="N7" s="10" t="s">
        <v>26</v>
      </c>
      <c r="O7" s="10" t="s">
        <v>27</v>
      </c>
      <c r="P7" s="11" t="s">
        <v>28</v>
      </c>
      <c r="Q7" s="9" t="s">
        <v>29</v>
      </c>
      <c r="R7" s="10" t="s">
        <v>30</v>
      </c>
      <c r="S7" s="11" t="s">
        <v>31</v>
      </c>
      <c r="T7" s="9" t="s">
        <v>32</v>
      </c>
      <c r="U7" s="10" t="s">
        <v>33</v>
      </c>
      <c r="V7" s="10" t="s">
        <v>34</v>
      </c>
      <c r="W7" s="12" t="s">
        <v>35</v>
      </c>
      <c r="X7" s="12" t="s">
        <v>36</v>
      </c>
      <c r="Y7" s="13" t="s">
        <v>37</v>
      </c>
      <c r="Z7" s="9" t="s">
        <v>15</v>
      </c>
      <c r="AA7" s="11" t="s">
        <v>16</v>
      </c>
      <c r="AB7" s="10" t="s">
        <v>110</v>
      </c>
      <c r="AC7" s="9" t="s">
        <v>38</v>
      </c>
      <c r="AD7" s="10" t="s">
        <v>111</v>
      </c>
      <c r="AE7" s="10" t="s">
        <v>39</v>
      </c>
      <c r="AF7" s="10" t="s">
        <v>40</v>
      </c>
      <c r="AG7" s="94" t="s">
        <v>112</v>
      </c>
      <c r="AH7" s="94" t="s">
        <v>113</v>
      </c>
      <c r="AI7" s="94" t="s">
        <v>114</v>
      </c>
      <c r="AJ7" s="121" t="s">
        <v>115</v>
      </c>
      <c r="AK7" s="14" t="s">
        <v>41</v>
      </c>
      <c r="AL7" s="9" t="s">
        <v>42</v>
      </c>
      <c r="AM7" s="94" t="s">
        <v>122</v>
      </c>
      <c r="AN7" s="10" t="s">
        <v>43</v>
      </c>
      <c r="AO7" s="94" t="s">
        <v>123</v>
      </c>
      <c r="AP7" s="10" t="s">
        <v>45</v>
      </c>
      <c r="AQ7" s="94" t="s">
        <v>124</v>
      </c>
      <c r="AR7" s="10" t="s">
        <v>44</v>
      </c>
      <c r="AS7" s="94" t="s">
        <v>125</v>
      </c>
      <c r="AT7" s="10" t="s">
        <v>116</v>
      </c>
      <c r="AU7" s="10" t="s">
        <v>117</v>
      </c>
      <c r="AV7" s="94" t="s">
        <v>118</v>
      </c>
      <c r="AW7" s="9" t="s">
        <v>46</v>
      </c>
      <c r="AX7" s="10" t="s">
        <v>47</v>
      </c>
      <c r="AY7" s="123" t="s">
        <v>48</v>
      </c>
      <c r="AZ7" s="10" t="s">
        <v>49</v>
      </c>
      <c r="BA7" s="98" t="s">
        <v>50</v>
      </c>
      <c r="BB7" s="10" t="s">
        <v>51</v>
      </c>
      <c r="BC7" s="10" t="s">
        <v>52</v>
      </c>
      <c r="BD7" s="10" t="s">
        <v>108</v>
      </c>
      <c r="BE7" s="9" t="s">
        <v>53</v>
      </c>
      <c r="BF7" s="10" t="s">
        <v>54</v>
      </c>
      <c r="BG7" s="10" t="s">
        <v>55</v>
      </c>
      <c r="BH7" s="10" t="s">
        <v>56</v>
      </c>
      <c r="BI7" s="10" t="s">
        <v>57</v>
      </c>
      <c r="BJ7" s="10" t="s">
        <v>58</v>
      </c>
      <c r="BK7" s="11" t="s">
        <v>59</v>
      </c>
      <c r="BL7" s="9" t="s">
        <v>60</v>
      </c>
      <c r="BM7" s="10" t="s">
        <v>61</v>
      </c>
      <c r="BN7" s="10" t="s">
        <v>62</v>
      </c>
      <c r="BO7" s="10" t="s">
        <v>63</v>
      </c>
      <c r="BP7" s="10" t="s">
        <v>64</v>
      </c>
      <c r="BQ7" s="10" t="s">
        <v>65</v>
      </c>
      <c r="BR7" s="10" t="s">
        <v>66</v>
      </c>
      <c r="BS7" s="9" t="s">
        <v>70</v>
      </c>
      <c r="BT7" s="10" t="s">
        <v>67</v>
      </c>
      <c r="BU7" s="10" t="s">
        <v>68</v>
      </c>
      <c r="BV7" s="10" t="s">
        <v>69</v>
      </c>
      <c r="BW7" s="11" t="s">
        <v>71</v>
      </c>
    </row>
    <row r="8" spans="1:94" s="2" customFormat="1" ht="32" x14ac:dyDescent="0.2">
      <c r="A8" s="5" t="s">
        <v>167</v>
      </c>
      <c r="B8" s="5" t="s">
        <v>231</v>
      </c>
      <c r="C8" s="91" t="s">
        <v>232</v>
      </c>
      <c r="D8" s="91" t="s">
        <v>73</v>
      </c>
      <c r="E8" s="5" t="s">
        <v>72</v>
      </c>
      <c r="F8" s="5" t="s">
        <v>72</v>
      </c>
      <c r="G8" s="5" t="s">
        <v>73</v>
      </c>
      <c r="H8" s="104"/>
      <c r="I8" s="5">
        <v>10</v>
      </c>
      <c r="J8" s="1"/>
      <c r="K8" s="1"/>
      <c r="L8" s="1"/>
      <c r="M8" s="1"/>
      <c r="N8" s="5"/>
      <c r="O8" s="5"/>
      <c r="P8" s="5"/>
      <c r="Q8" s="5" t="s">
        <v>73</v>
      </c>
      <c r="R8" s="5" t="s">
        <v>73</v>
      </c>
      <c r="S8" s="5" t="s">
        <v>73</v>
      </c>
      <c r="T8" s="5"/>
      <c r="U8" s="5"/>
      <c r="V8" s="5"/>
      <c r="W8" s="1"/>
      <c r="X8" s="92"/>
      <c r="Y8" s="92"/>
      <c r="Z8" s="5" t="s">
        <v>73</v>
      </c>
      <c r="AA8" s="5" t="s">
        <v>73</v>
      </c>
      <c r="AB8" s="1"/>
      <c r="AC8" s="5">
        <v>5</v>
      </c>
      <c r="AD8"/>
      <c r="AE8" s="5"/>
      <c r="AF8" s="5"/>
      <c r="AG8" s="5">
        <v>5</v>
      </c>
      <c r="AH8" s="5"/>
      <c r="AI8"/>
      <c r="AJ8" s="1"/>
      <c r="AK8" s="5" t="s">
        <v>73</v>
      </c>
      <c r="AL8" s="5" t="s">
        <v>73</v>
      </c>
      <c r="AM8"/>
      <c r="AN8" s="5" t="s">
        <v>73</v>
      </c>
      <c r="AO8"/>
      <c r="AP8" s="5" t="s">
        <v>73</v>
      </c>
      <c r="AQ8"/>
      <c r="AR8" s="5" t="s">
        <v>73</v>
      </c>
      <c r="AS8"/>
      <c r="AT8" t="s">
        <v>73</v>
      </c>
      <c r="AU8"/>
      <c r="AV8"/>
      <c r="AW8" s="1">
        <v>70</v>
      </c>
      <c r="AX8" s="1">
        <v>5</v>
      </c>
      <c r="AY8" s="124" t="s">
        <v>72</v>
      </c>
      <c r="AZ8" s="4" t="s">
        <v>73</v>
      </c>
      <c r="BA8" s="93" t="s">
        <v>233</v>
      </c>
      <c r="BB8">
        <v>1872</v>
      </c>
      <c r="BC8" s="103">
        <v>45645.466805555552</v>
      </c>
      <c r="BD8" s="87">
        <v>45645.425138888888</v>
      </c>
      <c r="BE8" t="s">
        <v>73</v>
      </c>
      <c r="BF8" t="s">
        <v>73</v>
      </c>
      <c r="BG8" t="s">
        <v>73</v>
      </c>
      <c r="BH8" t="s">
        <v>73</v>
      </c>
      <c r="BI8" t="s">
        <v>73</v>
      </c>
      <c r="BJ8" t="s">
        <v>73</v>
      </c>
      <c r="BK8"/>
      <c r="BL8" t="s">
        <v>73</v>
      </c>
      <c r="BM8" t="s">
        <v>73</v>
      </c>
      <c r="BN8" t="s">
        <v>73</v>
      </c>
      <c r="BO8" t="s">
        <v>73</v>
      </c>
      <c r="BP8" t="s">
        <v>73</v>
      </c>
      <c r="BQ8" t="s">
        <v>73</v>
      </c>
      <c r="BR8"/>
      <c r="BS8" t="s">
        <v>73</v>
      </c>
      <c r="BT8" t="s">
        <v>73</v>
      </c>
      <c r="BU8" t="s">
        <v>73</v>
      </c>
      <c r="BV8" t="s">
        <v>73</v>
      </c>
      <c r="BW8" s="1"/>
    </row>
    <row r="9" spans="1:94" ht="16" x14ac:dyDescent="0.2">
      <c r="A9" s="5" t="s">
        <v>167</v>
      </c>
      <c r="B9" s="5" t="s">
        <v>203</v>
      </c>
      <c r="C9" s="91" t="s">
        <v>204</v>
      </c>
      <c r="D9" s="91" t="s">
        <v>73</v>
      </c>
      <c r="E9" s="5" t="s">
        <v>72</v>
      </c>
      <c r="F9" s="5" t="s">
        <v>73</v>
      </c>
      <c r="G9" s="5" t="s">
        <v>73</v>
      </c>
      <c r="H9" s="104"/>
      <c r="I9" s="5"/>
      <c r="N9" s="5"/>
      <c r="O9" s="5"/>
      <c r="P9" s="5"/>
      <c r="Q9" s="5" t="s">
        <v>73</v>
      </c>
      <c r="R9" s="5" t="s">
        <v>73</v>
      </c>
      <c r="S9" s="5" t="s">
        <v>73</v>
      </c>
      <c r="T9" s="5"/>
      <c r="U9" s="5"/>
      <c r="V9" s="5"/>
      <c r="X9" s="92"/>
      <c r="Y9" s="92"/>
      <c r="Z9" s="5" t="s">
        <v>73</v>
      </c>
      <c r="AA9" s="5" t="s">
        <v>73</v>
      </c>
      <c r="AC9" s="5"/>
      <c r="AD9"/>
      <c r="AE9" s="5"/>
      <c r="AF9" s="5"/>
      <c r="AG9" s="5"/>
      <c r="AH9" s="5"/>
      <c r="AI9"/>
      <c r="AK9" s="5" t="s">
        <v>73</v>
      </c>
      <c r="AL9" s="5" t="s">
        <v>73</v>
      </c>
      <c r="AM9"/>
      <c r="AN9" s="5" t="s">
        <v>73</v>
      </c>
      <c r="AO9"/>
      <c r="AP9" s="5" t="s">
        <v>73</v>
      </c>
      <c r="AQ9"/>
      <c r="AR9" s="5" t="s">
        <v>73</v>
      </c>
      <c r="AT9" t="s">
        <v>73</v>
      </c>
      <c r="AW9" s="1">
        <v>55</v>
      </c>
      <c r="AX9" s="1">
        <v>2</v>
      </c>
      <c r="AY9" s="124" t="s">
        <v>72</v>
      </c>
      <c r="AZ9" s="4" t="s">
        <v>73</v>
      </c>
      <c r="BA9" s="93" t="s">
        <v>73</v>
      </c>
      <c r="BB9">
        <v>1842</v>
      </c>
      <c r="BC9" s="103">
        <v>45642.662719907406</v>
      </c>
      <c r="BD9" s="87">
        <v>45642.621053240742</v>
      </c>
      <c r="BE9" t="s">
        <v>73</v>
      </c>
      <c r="BF9" t="s">
        <v>73</v>
      </c>
      <c r="BG9" t="s">
        <v>73</v>
      </c>
      <c r="BH9" t="s">
        <v>73</v>
      </c>
      <c r="BI9" t="s">
        <v>73</v>
      </c>
      <c r="BJ9" t="s">
        <v>73</v>
      </c>
      <c r="BL9" t="s">
        <v>73</v>
      </c>
      <c r="BM9" t="s">
        <v>73</v>
      </c>
      <c r="BN9" t="s">
        <v>73</v>
      </c>
      <c r="BO9" t="s">
        <v>73</v>
      </c>
      <c r="BP9" t="s">
        <v>73</v>
      </c>
      <c r="BQ9" t="s">
        <v>73</v>
      </c>
      <c r="BS9" t="s">
        <v>73</v>
      </c>
      <c r="BT9" t="s">
        <v>73</v>
      </c>
      <c r="BU9" t="s">
        <v>73</v>
      </c>
      <c r="BV9" t="s">
        <v>73</v>
      </c>
      <c r="CB9"/>
      <c r="CC9"/>
      <c r="CD9"/>
      <c r="CE9"/>
      <c r="CF9"/>
      <c r="CG9"/>
      <c r="CH9"/>
      <c r="CI9"/>
      <c r="CJ9"/>
      <c r="CK9"/>
      <c r="CL9"/>
      <c r="CM9"/>
      <c r="CN9"/>
      <c r="CO9"/>
    </row>
    <row r="10" spans="1:94" ht="16" x14ac:dyDescent="0.2">
      <c r="A10" s="5" t="s">
        <v>167</v>
      </c>
      <c r="B10" s="5" t="s">
        <v>153</v>
      </c>
      <c r="C10" s="91" t="s">
        <v>154</v>
      </c>
      <c r="D10" s="91" t="s">
        <v>73</v>
      </c>
      <c r="E10" s="5" t="s">
        <v>72</v>
      </c>
      <c r="F10" s="5" t="s">
        <v>72</v>
      </c>
      <c r="G10" s="5" t="s">
        <v>73</v>
      </c>
      <c r="H10" s="104"/>
      <c r="I10" s="5">
        <v>14</v>
      </c>
      <c r="N10" s="5">
        <v>6</v>
      </c>
      <c r="O10" s="5"/>
      <c r="P10" s="5"/>
      <c r="Q10" s="5" t="s">
        <v>73</v>
      </c>
      <c r="R10" s="5" t="s">
        <v>73</v>
      </c>
      <c r="S10" s="5" t="s">
        <v>73</v>
      </c>
      <c r="T10" s="5">
        <v>5</v>
      </c>
      <c r="U10" s="5"/>
      <c r="V10" s="5"/>
      <c r="W10" s="1">
        <v>5</v>
      </c>
      <c r="X10" s="92"/>
      <c r="Y10" s="92"/>
      <c r="Z10" s="5" t="s">
        <v>73</v>
      </c>
      <c r="AA10" s="5" t="s">
        <v>73</v>
      </c>
      <c r="AC10" s="5">
        <v>5</v>
      </c>
      <c r="AD10"/>
      <c r="AE10" s="5"/>
      <c r="AF10" s="5"/>
      <c r="AG10" s="5">
        <v>5</v>
      </c>
      <c r="AH10" s="5"/>
      <c r="AI10"/>
      <c r="AK10" s="5" t="s">
        <v>73</v>
      </c>
      <c r="AL10" s="5" t="s">
        <v>73</v>
      </c>
      <c r="AM10"/>
      <c r="AN10" s="5" t="s">
        <v>73</v>
      </c>
      <c r="AO10"/>
      <c r="AP10" s="5" t="s">
        <v>73</v>
      </c>
      <c r="AQ10"/>
      <c r="AR10" s="5" t="s">
        <v>73</v>
      </c>
      <c r="AT10" t="s">
        <v>73</v>
      </c>
      <c r="AW10" s="1">
        <v>50</v>
      </c>
      <c r="AX10" s="1">
        <v>10</v>
      </c>
      <c r="AY10" s="124" t="s">
        <v>72</v>
      </c>
      <c r="AZ10" s="4" t="s">
        <v>73</v>
      </c>
      <c r="BA10" s="93" t="s">
        <v>73</v>
      </c>
      <c r="BB10">
        <v>1837</v>
      </c>
      <c r="BC10" s="103">
        <v>45641.532141203701</v>
      </c>
      <c r="BD10" s="87">
        <v>45641.490474537037</v>
      </c>
      <c r="BE10" t="s">
        <v>73</v>
      </c>
      <c r="BF10" t="s">
        <v>73</v>
      </c>
      <c r="BG10" t="s">
        <v>73</v>
      </c>
      <c r="BH10" t="s">
        <v>73</v>
      </c>
      <c r="BI10" t="s">
        <v>73</v>
      </c>
      <c r="BJ10" t="s">
        <v>73</v>
      </c>
      <c r="BL10" t="s">
        <v>73</v>
      </c>
      <c r="BM10" t="s">
        <v>73</v>
      </c>
      <c r="BN10" t="s">
        <v>73</v>
      </c>
      <c r="BO10" t="s">
        <v>73</v>
      </c>
      <c r="BP10" t="s">
        <v>73</v>
      </c>
      <c r="BQ10" t="s">
        <v>73</v>
      </c>
      <c r="BS10" t="s">
        <v>73</v>
      </c>
      <c r="BT10" t="s">
        <v>73</v>
      </c>
      <c r="BU10" t="s">
        <v>73</v>
      </c>
      <c r="BV10" t="s">
        <v>73</v>
      </c>
      <c r="BX10" s="33"/>
      <c r="BY10" s="33"/>
      <c r="BZ10" s="33"/>
      <c r="CB10"/>
      <c r="CC10"/>
      <c r="CD10"/>
      <c r="CE10"/>
      <c r="CF10"/>
      <c r="CG10"/>
      <c r="CH10"/>
      <c r="CI10"/>
      <c r="CJ10"/>
      <c r="CK10"/>
      <c r="CL10"/>
      <c r="CM10"/>
      <c r="CN10"/>
      <c r="CO10"/>
    </row>
    <row r="11" spans="1:94" ht="16" x14ac:dyDescent="0.2">
      <c r="A11" s="5" t="s">
        <v>167</v>
      </c>
      <c r="B11" s="5" t="s">
        <v>186</v>
      </c>
      <c r="C11" s="91" t="s">
        <v>187</v>
      </c>
      <c r="D11" s="91" t="s">
        <v>73</v>
      </c>
      <c r="E11" s="5" t="s">
        <v>72</v>
      </c>
      <c r="F11" s="5" t="s">
        <v>73</v>
      </c>
      <c r="G11" s="5" t="s">
        <v>72</v>
      </c>
      <c r="H11" s="104" t="s">
        <v>74</v>
      </c>
      <c r="I11" s="5">
        <v>7</v>
      </c>
      <c r="N11" s="5"/>
      <c r="O11" s="5"/>
      <c r="P11" s="5"/>
      <c r="Q11" s="5" t="s">
        <v>73</v>
      </c>
      <c r="R11" s="5" t="s">
        <v>73</v>
      </c>
      <c r="S11" s="5" t="s">
        <v>73</v>
      </c>
      <c r="T11" s="5"/>
      <c r="U11" s="5"/>
      <c r="V11" s="5"/>
      <c r="W11" s="1">
        <v>1</v>
      </c>
      <c r="X11" s="92"/>
      <c r="Y11" s="92"/>
      <c r="Z11" s="5" t="s">
        <v>73</v>
      </c>
      <c r="AA11" s="5" t="s">
        <v>73</v>
      </c>
      <c r="AB11" s="1">
        <v>4</v>
      </c>
      <c r="AC11" s="5">
        <v>5</v>
      </c>
      <c r="AD11"/>
      <c r="AE11" s="5"/>
      <c r="AF11" s="5"/>
      <c r="AG11" s="5">
        <v>4</v>
      </c>
      <c r="AH11" s="5"/>
      <c r="AI11"/>
      <c r="AK11" s="5" t="s">
        <v>73</v>
      </c>
      <c r="AL11" s="5" t="s">
        <v>73</v>
      </c>
      <c r="AM11"/>
      <c r="AN11" s="5" t="s">
        <v>73</v>
      </c>
      <c r="AO11"/>
      <c r="AP11" s="5" t="s">
        <v>73</v>
      </c>
      <c r="AQ11"/>
      <c r="AR11" s="5" t="s">
        <v>73</v>
      </c>
      <c r="AT11" t="s">
        <v>73</v>
      </c>
      <c r="AW11" s="1">
        <v>90</v>
      </c>
      <c r="AX11" s="1">
        <v>20</v>
      </c>
      <c r="AY11" s="124" t="s">
        <v>72</v>
      </c>
      <c r="AZ11" s="4" t="s">
        <v>73</v>
      </c>
      <c r="BA11" s="93" t="s">
        <v>73</v>
      </c>
      <c r="BB11">
        <v>1835</v>
      </c>
      <c r="BC11" s="103">
        <v>45639.889189814814</v>
      </c>
      <c r="BD11" s="87">
        <v>45639.84752314815</v>
      </c>
      <c r="BE11" t="s">
        <v>73</v>
      </c>
      <c r="BF11" t="s">
        <v>73</v>
      </c>
      <c r="BG11" t="s">
        <v>73</v>
      </c>
      <c r="BH11" t="s">
        <v>73</v>
      </c>
      <c r="BI11" t="s">
        <v>73</v>
      </c>
      <c r="BJ11" t="s">
        <v>73</v>
      </c>
      <c r="BL11" t="s">
        <v>73</v>
      </c>
      <c r="BM11" t="s">
        <v>73</v>
      </c>
      <c r="BN11" t="s">
        <v>73</v>
      </c>
      <c r="BO11" t="s">
        <v>73</v>
      </c>
      <c r="BP11" t="s">
        <v>73</v>
      </c>
      <c r="BQ11" t="s">
        <v>73</v>
      </c>
      <c r="BS11" t="s">
        <v>75</v>
      </c>
      <c r="BT11" t="s">
        <v>188</v>
      </c>
      <c r="BU11" t="s">
        <v>189</v>
      </c>
      <c r="BV11" t="s">
        <v>190</v>
      </c>
      <c r="BW11" s="1">
        <v>8</v>
      </c>
      <c r="BX11" s="1"/>
      <c r="BY11" s="1"/>
      <c r="CB11"/>
      <c r="CC11"/>
      <c r="CD11"/>
      <c r="CE11"/>
      <c r="CF11"/>
      <c r="CG11"/>
      <c r="CH11"/>
      <c r="CI11"/>
      <c r="CJ11"/>
      <c r="CK11"/>
      <c r="CL11"/>
      <c r="CM11"/>
      <c r="CN11"/>
      <c r="CO11"/>
    </row>
    <row r="12" spans="1:94" ht="17" thickBot="1" x14ac:dyDescent="0.25">
      <c r="A12" s="5" t="s">
        <v>167</v>
      </c>
      <c r="B12" s="5" t="s">
        <v>172</v>
      </c>
      <c r="C12" s="91" t="s">
        <v>168</v>
      </c>
      <c r="D12" s="91" t="s">
        <v>73</v>
      </c>
      <c r="E12" s="5" t="s">
        <v>72</v>
      </c>
      <c r="F12" s="5" t="s">
        <v>72</v>
      </c>
      <c r="G12" s="5" t="s">
        <v>73</v>
      </c>
      <c r="H12" s="104" t="s">
        <v>72</v>
      </c>
      <c r="I12" s="5">
        <v>10</v>
      </c>
      <c r="J12" s="1">
        <v>3</v>
      </c>
      <c r="L12" s="1">
        <v>7</v>
      </c>
      <c r="N12" s="5"/>
      <c r="O12" s="5"/>
      <c r="P12" s="5"/>
      <c r="Q12" s="5" t="s">
        <v>73</v>
      </c>
      <c r="R12" s="5" t="s">
        <v>73</v>
      </c>
      <c r="S12" s="5" t="s">
        <v>73</v>
      </c>
      <c r="T12" s="5"/>
      <c r="U12" s="5"/>
      <c r="V12" s="5"/>
      <c r="X12" s="92"/>
      <c r="Y12" s="92"/>
      <c r="Z12" s="5" t="s">
        <v>73</v>
      </c>
      <c r="AA12" s="5" t="s">
        <v>73</v>
      </c>
      <c r="AB12" s="1">
        <v>1</v>
      </c>
      <c r="AC12" s="5">
        <v>11</v>
      </c>
      <c r="AD12"/>
      <c r="AE12" s="5"/>
      <c r="AF12" s="5">
        <v>4</v>
      </c>
      <c r="AG12" s="5">
        <v>11</v>
      </c>
      <c r="AH12" s="5"/>
      <c r="AI12"/>
      <c r="AJ12" s="1">
        <v>4</v>
      </c>
      <c r="AK12" s="5" t="s">
        <v>73</v>
      </c>
      <c r="AL12" s="5" t="s">
        <v>73</v>
      </c>
      <c r="AM12"/>
      <c r="AN12" s="5" t="s">
        <v>73</v>
      </c>
      <c r="AO12"/>
      <c r="AP12" s="5" t="s">
        <v>73</v>
      </c>
      <c r="AQ12"/>
      <c r="AR12" s="5" t="s">
        <v>73</v>
      </c>
      <c r="AT12" t="s">
        <v>73</v>
      </c>
      <c r="AW12" s="1">
        <v>105</v>
      </c>
      <c r="AX12" s="1">
        <v>26</v>
      </c>
      <c r="AY12" s="124" t="s">
        <v>73</v>
      </c>
      <c r="AZ12" s="4" t="s">
        <v>73</v>
      </c>
      <c r="BA12" s="93" t="s">
        <v>73</v>
      </c>
      <c r="BB12">
        <v>1832</v>
      </c>
      <c r="BC12" s="103">
        <v>45639.39634259259</v>
      </c>
      <c r="BD12" s="87">
        <v>45639.354675925926</v>
      </c>
      <c r="BE12" t="s">
        <v>73</v>
      </c>
      <c r="BF12" t="s">
        <v>73</v>
      </c>
      <c r="BG12" t="s">
        <v>73</v>
      </c>
      <c r="BH12" t="s">
        <v>73</v>
      </c>
      <c r="BI12" t="s">
        <v>73</v>
      </c>
      <c r="BJ12" t="s">
        <v>73</v>
      </c>
      <c r="BL12" t="s">
        <v>73</v>
      </c>
      <c r="BM12" t="s">
        <v>73</v>
      </c>
      <c r="BN12" t="s">
        <v>73</v>
      </c>
      <c r="BO12" t="s">
        <v>73</v>
      </c>
      <c r="BP12" t="s">
        <v>73</v>
      </c>
      <c r="BQ12" t="s">
        <v>73</v>
      </c>
      <c r="BS12" t="s">
        <v>169</v>
      </c>
      <c r="BT12" t="s">
        <v>196</v>
      </c>
      <c r="BU12" t="s">
        <v>197</v>
      </c>
      <c r="BV12" t="s">
        <v>198</v>
      </c>
      <c r="BW12" s="1">
        <v>16</v>
      </c>
      <c r="BX12" s="33"/>
      <c r="BY12" s="33"/>
      <c r="BZ12" s="33"/>
      <c r="CB12"/>
      <c r="CC12"/>
      <c r="CD12"/>
      <c r="CE12"/>
      <c r="CF12"/>
      <c r="CG12"/>
      <c r="CH12"/>
      <c r="CI12"/>
      <c r="CJ12"/>
      <c r="CK12"/>
      <c r="CL12"/>
      <c r="CM12"/>
      <c r="CN12"/>
      <c r="CO12"/>
    </row>
    <row r="13" spans="1:94" ht="16" thickTop="1" x14ac:dyDescent="0.2">
      <c r="A13" t="s">
        <v>79</v>
      </c>
      <c r="C13" s="132">
        <f>SUBTOTAL(103,KDM[Naam vereniging])</f>
        <v>5</v>
      </c>
      <c r="D13" s="1">
        <f>COUNTIF(KDM[Delegatie],"x")</f>
        <v>0</v>
      </c>
      <c r="E13" s="16">
        <f>COUNTIF(KDM[Muziekkorps bij mars en defilé],"x")</f>
        <v>5</v>
      </c>
      <c r="F13" s="16">
        <f>COUNTIF(KDM[Deeln. jeugdkoningschieten],"x")</f>
        <v>3</v>
      </c>
      <c r="G13" s="16">
        <f>COUNTIF(KDM[Maj. Senioren jureren bij mars],"x")</f>
        <v>1</v>
      </c>
      <c r="H13" s="16">
        <f>COUNTIF(KDM[Maj. Jeugd jureren bij mars],"x")</f>
        <v>1</v>
      </c>
      <c r="I13" s="1">
        <f>SUBTOTAL(103,KDM[Korps senioren])</f>
        <v>4</v>
      </c>
      <c r="J13" s="1">
        <f>SUBTOTAL(103,KDM[Junioren korps 1])</f>
        <v>1</v>
      </c>
      <c r="K13" s="1">
        <f>SUBTOTAL(103,KDM[Junioren korps 2])</f>
        <v>0</v>
      </c>
      <c r="L13" s="1">
        <f>SUBTOTAL(103,KDM[Aspiranten korps 1])</f>
        <v>1</v>
      </c>
      <c r="M13" s="1">
        <f>SUBTOTAL(103,KDM[Aspiranten korps 2])</f>
        <v>0</v>
      </c>
      <c r="N13" s="1">
        <f>SUBTOTAL(103,KDM[Acrobatisch senioren])</f>
        <v>1</v>
      </c>
      <c r="O13" s="1">
        <f>SUBTOTAL(103,KDM[Acrobatisch junioren])</f>
        <v>0</v>
      </c>
      <c r="P13" s="1">
        <f>SUBTOTAL(103,KDM[Acrobatisch aspiranten])</f>
        <v>0</v>
      </c>
      <c r="T13" s="79">
        <f>SUBTOTAL(109,KDM[Senioren indiv.])</f>
        <v>5</v>
      </c>
      <c r="U13" s="79">
        <f>SUBTOTAL(109,KDM[Junioren indiv.])</f>
        <v>0</v>
      </c>
      <c r="V13" s="1">
        <f>SUBTOTAL(109,KDM[Aspiranten indiv.])</f>
        <v>0</v>
      </c>
      <c r="W13" s="1">
        <f>SUBTOTAL(109,KDM[Sen. ind opgegeven namen])</f>
        <v>6</v>
      </c>
      <c r="X13" s="1">
        <f>SUBTOTAL(109,KDM[Jun. ind opgegeven namen])</f>
        <v>0</v>
      </c>
      <c r="Y13" s="1">
        <f>SUBTOTAL(109,KDM[Asp. ind opgegeven namen])</f>
        <v>0</v>
      </c>
      <c r="Z13" s="16">
        <f>COUNTIF(KDM[Hoofdkorps],"x")</f>
        <v>0</v>
      </c>
      <c r="AA13" s="120">
        <f>COUNTIF(KDM[2e korps],"x")</f>
        <v>0</v>
      </c>
      <c r="AB13" s="1">
        <f>SUBTOTAL(109,KDM[Groepen, teams, ensembles en duo''s])</f>
        <v>5</v>
      </c>
      <c r="AC13" s="1">
        <f>SUBTOTAL(109,KDM[Senioren])</f>
        <v>26</v>
      </c>
      <c r="AD13" s="1">
        <f>SUBTOTAL(109,KDM[Jong volwassene])</f>
        <v>0</v>
      </c>
      <c r="AE13" s="1">
        <f>SUBTOTAL(109,KDM[Junioren])</f>
        <v>0</v>
      </c>
      <c r="AF13" s="1">
        <f>SUBTOTAL(109,KDM[Aspiranten])</f>
        <v>4</v>
      </c>
      <c r="AG13" s="1">
        <f>SUBTOTAL(109,KDM[Opgegeven senioren])</f>
        <v>25</v>
      </c>
      <c r="AH13" s="1">
        <f>SUBTOTAL(109,KDM[Opgegeven jong volwassene])</f>
        <v>0</v>
      </c>
      <c r="AI13" s="1">
        <f>SUBTOTAL(109,KDM[Opgegeven junioren])</f>
        <v>0</v>
      </c>
      <c r="AJ13" s="1">
        <f>SUBTOTAL(109,KDM[Opgegeven aspiranten])</f>
        <v>4</v>
      </c>
      <c r="AK13" s="1">
        <f>COUNTIF(KDM[Marketentsters],"x")</f>
        <v>0</v>
      </c>
      <c r="AL13" s="1">
        <f>COUNTIF(KDM[Luchtgeweer],"x")</f>
        <v>0</v>
      </c>
      <c r="AM13" s="1">
        <f>SUBTOTAL(109,KDM[Aantal luchtgeweerschutters])</f>
        <v>0</v>
      </c>
      <c r="AN13" s="1">
        <f>COUNTIF(KDM[Luchtpistool],"x")</f>
        <v>0</v>
      </c>
      <c r="AO13" s="1">
        <f>SUBTOTAL(109,KDM[Aantal luchtpistoolschutters])</f>
        <v>0</v>
      </c>
      <c r="AP13" s="1">
        <f>COUNTIF(KDM[Handboog],"x")</f>
        <v>0</v>
      </c>
      <c r="AQ13" s="1">
        <f>SUBTOTAL(109,KDM[Aantal handboogschutters])</f>
        <v>0</v>
      </c>
      <c r="AR13" s="1">
        <f>COUNTIF(KDM[Kruisboog],"x")</f>
        <v>0</v>
      </c>
      <c r="AS13" s="1">
        <f>SUBTOTAL(109,KDM[Aantal kruisboogschutters])</f>
        <v>0</v>
      </c>
      <c r="AT13" s="1">
        <f>COUNTIF(KDM[Luchtgeweer jeugd niet ouder dan 17 jaar.],"x")</f>
        <v>0</v>
      </c>
      <c r="AU13" s="1">
        <f>SUBTOTAL(109,KDM[Aantal korpsen])</f>
        <v>0</v>
      </c>
      <c r="AV13" s="1">
        <f>SUBTOTAL(109,KDM[Opgegeven jeugdkorpsen LG])</f>
        <v>0</v>
      </c>
      <c r="AW13" s="1">
        <f>SUBTOTAL(109,KDM[Totaal aantal deelnemers])</f>
        <v>370</v>
      </c>
      <c r="AX13" s="1">
        <f>SUBTOTAL(109,KDM[Waarvan aantal jeugd (t/m 15 jaar)])</f>
        <v>63</v>
      </c>
      <c r="AY13" s="86">
        <f>COUNTIF(KDM[Kanon etc.],"x")</f>
        <v>4</v>
      </c>
      <c r="AZ13" s="1">
        <f>COUNTIF(KDM[Paarden en/of koetsen],"x")</f>
        <v>0</v>
      </c>
      <c r="BA13" s="63"/>
      <c r="BB13" s="1"/>
      <c r="BC13" s="1"/>
      <c r="BD13" s="1"/>
      <c r="BE13" s="1"/>
      <c r="BF13" s="1"/>
      <c r="BG13" s="1"/>
      <c r="BH13" s="1"/>
      <c r="BI13" s="1"/>
      <c r="BJ13" s="1"/>
      <c r="BK13" s="1"/>
      <c r="BL13" s="1"/>
      <c r="BM13" s="1"/>
      <c r="BN13" s="1"/>
      <c r="BO13" s="1"/>
      <c r="BP13" s="1"/>
      <c r="BQ13" s="1"/>
      <c r="BR13" s="1"/>
      <c r="BS13" s="1"/>
      <c r="BT13" s="1"/>
      <c r="BU13" s="1"/>
      <c r="BV13" s="1"/>
      <c r="BW13" s="1">
        <f>SUBTOTAL(109,KDM[Aantal opgegeven majorettes])</f>
        <v>24</v>
      </c>
      <c r="BX13" s="33"/>
      <c r="BY13" s="33"/>
      <c r="BZ13" s="33"/>
      <c r="CB13"/>
      <c r="CC13"/>
      <c r="CD13"/>
      <c r="CE13"/>
      <c r="CF13"/>
      <c r="CG13"/>
      <c r="CH13"/>
      <c r="CI13"/>
      <c r="CJ13"/>
      <c r="CK13"/>
      <c r="CL13"/>
      <c r="CM13"/>
      <c r="CN13"/>
      <c r="CO13"/>
    </row>
    <row r="14" spans="1:94" x14ac:dyDescent="0.2">
      <c r="BX14" s="33"/>
      <c r="BY14" s="33"/>
      <c r="BZ14" s="33"/>
      <c r="CB14"/>
      <c r="CC14"/>
      <c r="CD14"/>
      <c r="CE14"/>
      <c r="CF14"/>
      <c r="CG14"/>
      <c r="CH14"/>
      <c r="CI14"/>
      <c r="CJ14"/>
      <c r="CK14"/>
      <c r="CL14"/>
      <c r="CM14"/>
      <c r="CN14"/>
      <c r="CO14"/>
    </row>
    <row r="15" spans="1:94" x14ac:dyDescent="0.2">
      <c r="C15" s="130"/>
      <c r="BX15" s="33"/>
      <c r="BY15" s="33"/>
      <c r="BZ15" s="33"/>
      <c r="CB15"/>
      <c r="CC15"/>
      <c r="CD15"/>
      <c r="CE15"/>
      <c r="CF15"/>
      <c r="CG15"/>
      <c r="CH15"/>
      <c r="CI15"/>
      <c r="CJ15"/>
      <c r="CK15"/>
      <c r="CL15"/>
      <c r="CM15"/>
      <c r="CN15"/>
      <c r="CO15"/>
    </row>
    <row r="16" spans="1:94" x14ac:dyDescent="0.2">
      <c r="B16" s="81"/>
      <c r="C16" s="131"/>
      <c r="D16" s="70"/>
      <c r="R16" s="82"/>
      <c r="BX16" s="33"/>
      <c r="BY16" s="33"/>
      <c r="BZ16" s="33"/>
      <c r="CB16"/>
      <c r="CC16"/>
      <c r="CD16"/>
      <c r="CE16"/>
      <c r="CF16"/>
      <c r="CG16"/>
      <c r="CH16"/>
      <c r="CI16"/>
      <c r="CJ16"/>
      <c r="CK16"/>
      <c r="CL16"/>
      <c r="CM16"/>
      <c r="CN16"/>
      <c r="CO16"/>
    </row>
    <row r="17" spans="76:93" x14ac:dyDescent="0.2">
      <c r="BX17" s="33"/>
      <c r="BY17" s="33"/>
      <c r="BZ17" s="33"/>
      <c r="CB17"/>
      <c r="CC17"/>
      <c r="CD17"/>
      <c r="CE17"/>
      <c r="CF17"/>
      <c r="CG17"/>
      <c r="CH17"/>
      <c r="CI17"/>
      <c r="CJ17"/>
      <c r="CK17"/>
      <c r="CL17"/>
      <c r="CM17"/>
      <c r="CN17"/>
      <c r="CO17"/>
    </row>
    <row r="18" spans="76:93" x14ac:dyDescent="0.2">
      <c r="BX18" s="33"/>
      <c r="BY18" s="33"/>
      <c r="BZ18" s="33"/>
      <c r="CB18"/>
      <c r="CC18"/>
      <c r="CD18"/>
      <c r="CE18"/>
      <c r="CF18"/>
      <c r="CG18"/>
      <c r="CH18"/>
      <c r="CI18"/>
      <c r="CJ18"/>
      <c r="CK18"/>
      <c r="CL18"/>
      <c r="CM18"/>
      <c r="CN18"/>
      <c r="CO18"/>
    </row>
    <row r="19" spans="76:93" x14ac:dyDescent="0.2">
      <c r="BX19" s="33"/>
      <c r="BY19" s="33"/>
      <c r="BZ19" s="33"/>
      <c r="CA19" s="33"/>
      <c r="CD19"/>
      <c r="CE19"/>
      <c r="CF19"/>
      <c r="CG19"/>
      <c r="CH19"/>
      <c r="CI19"/>
      <c r="CJ19"/>
      <c r="CK19"/>
      <c r="CL19"/>
      <c r="CM19"/>
      <c r="CN19"/>
      <c r="CO19"/>
    </row>
    <row r="20" spans="76:93" x14ac:dyDescent="0.2">
      <c r="BX20" s="33"/>
      <c r="BY20" s="33"/>
      <c r="BZ20" s="33"/>
      <c r="CA20" s="33"/>
      <c r="CD20"/>
      <c r="CE20"/>
      <c r="CF20"/>
      <c r="CG20"/>
      <c r="CH20"/>
      <c r="CI20"/>
      <c r="CJ20"/>
      <c r="CK20"/>
      <c r="CL20"/>
      <c r="CM20"/>
      <c r="CN20"/>
      <c r="CO20"/>
    </row>
    <row r="21" spans="76:93" x14ac:dyDescent="0.2">
      <c r="BX21" s="33"/>
      <c r="BY21" s="33"/>
      <c r="BZ21" s="33"/>
      <c r="CA21" s="33"/>
      <c r="CD21"/>
      <c r="CE21"/>
      <c r="CF21"/>
      <c r="CG21"/>
      <c r="CH21"/>
      <c r="CI21"/>
      <c r="CJ21"/>
      <c r="CK21"/>
      <c r="CL21"/>
      <c r="CM21"/>
      <c r="CN21"/>
      <c r="CO21"/>
    </row>
    <row r="22" spans="76:93" x14ac:dyDescent="0.2">
      <c r="BX22" s="33"/>
      <c r="BY22" s="33"/>
      <c r="BZ22" s="33"/>
      <c r="CA22" s="33"/>
      <c r="CD22"/>
      <c r="CE22"/>
      <c r="CF22"/>
      <c r="CG22"/>
      <c r="CH22"/>
      <c r="CI22"/>
      <c r="CJ22"/>
      <c r="CK22"/>
      <c r="CL22"/>
      <c r="CM22"/>
      <c r="CN22"/>
      <c r="CO22"/>
    </row>
    <row r="23" spans="76:93" x14ac:dyDescent="0.2">
      <c r="BX23" s="33"/>
      <c r="BY23" s="33"/>
      <c r="BZ23" s="33"/>
      <c r="CA23" s="33"/>
      <c r="CD23"/>
      <c r="CE23"/>
      <c r="CF23"/>
      <c r="CG23"/>
      <c r="CH23"/>
      <c r="CI23"/>
      <c r="CJ23"/>
      <c r="CK23"/>
      <c r="CL23"/>
      <c r="CM23"/>
      <c r="CN23"/>
      <c r="CO23"/>
    </row>
    <row r="24" spans="76:93" x14ac:dyDescent="0.2">
      <c r="BX24" s="33"/>
      <c r="BY24" s="33"/>
      <c r="BZ24" s="33"/>
      <c r="CA24" s="33"/>
      <c r="CD24"/>
      <c r="CE24"/>
      <c r="CF24"/>
      <c r="CG24"/>
      <c r="CH24"/>
      <c r="CI24"/>
      <c r="CJ24"/>
      <c r="CK24"/>
      <c r="CL24"/>
      <c r="CM24"/>
      <c r="CN24"/>
      <c r="CO24"/>
    </row>
    <row r="25" spans="76:93" x14ac:dyDescent="0.2">
      <c r="BX25" s="33"/>
      <c r="BY25" s="33"/>
      <c r="BZ25" s="33"/>
      <c r="CA25" s="33"/>
      <c r="CD25"/>
      <c r="CE25"/>
      <c r="CF25"/>
      <c r="CG25"/>
      <c r="CH25"/>
      <c r="CI25"/>
      <c r="CJ25"/>
      <c r="CK25"/>
      <c r="CL25"/>
      <c r="CM25"/>
      <c r="CN25"/>
      <c r="CO25"/>
    </row>
  </sheetData>
  <mergeCells count="15">
    <mergeCell ref="A1:CC1"/>
    <mergeCell ref="A2:CC2"/>
    <mergeCell ref="D3:H3"/>
    <mergeCell ref="AL3:AV3"/>
    <mergeCell ref="N4:P4"/>
    <mergeCell ref="Q4:S4"/>
    <mergeCell ref="T4:Y4"/>
    <mergeCell ref="Z3:AA3"/>
    <mergeCell ref="I3:Y3"/>
    <mergeCell ref="BL4:BR4"/>
    <mergeCell ref="BE3:BR3"/>
    <mergeCell ref="BE4:BK4"/>
    <mergeCell ref="BS3:BW3"/>
    <mergeCell ref="BS4:BW4"/>
    <mergeCell ref="AW3:BD3"/>
  </mergeCells>
  <phoneticPr fontId="2" type="noConversion"/>
  <conditionalFormatting sqref="W7:W12">
    <cfRule type="expression" dxfId="28" priority="2">
      <formula>$T7-$W7&lt;&gt;0</formula>
    </cfRule>
  </conditionalFormatting>
  <conditionalFormatting sqref="X7:X12">
    <cfRule type="expression" dxfId="27" priority="3">
      <formula>$U7-$X7&lt;&gt;0</formula>
    </cfRule>
  </conditionalFormatting>
  <conditionalFormatting sqref="Y7:Y12">
    <cfRule type="expression" dxfId="26" priority="15">
      <formula>$V7-$Y7&lt;&gt;0</formula>
    </cfRule>
  </conditionalFormatting>
  <pageMargins left="0.7" right="0.7" top="0.75" bottom="0.75" header="0.3" footer="0.3"/>
  <pageSetup orientation="portrait" horizont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4BBF9-126C-4F7E-AE91-412B5FD3E7A6}">
  <dimension ref="A1:CM26"/>
  <sheetViews>
    <sheetView zoomScale="110" zoomScaleNormal="110" workbookViewId="0">
      <pane xSplit="3" ySplit="6" topLeftCell="D7" activePane="bottomRight" state="frozen"/>
      <selection pane="topRight" activeCell="D1" sqref="D1"/>
      <selection pane="bottomLeft" activeCell="A7" sqref="A7"/>
      <selection pane="bottomRight" activeCell="A9" sqref="A9:XFD9"/>
    </sheetView>
  </sheetViews>
  <sheetFormatPr baseColWidth="10" defaultColWidth="9.1640625" defaultRowHeight="15" x14ac:dyDescent="0.2"/>
  <cols>
    <col min="1" max="1" width="10.33203125" bestFit="1" customWidth="1"/>
    <col min="2" max="2" width="8.6640625" bestFit="1" customWidth="1"/>
    <col min="3" max="3" width="38.1640625" bestFit="1" customWidth="1"/>
    <col min="4" max="4" width="3.5" style="1" bestFit="1" customWidth="1"/>
    <col min="5" max="16" width="8.5" style="1" bestFit="1" customWidth="1"/>
    <col min="17" max="19" width="7.6640625" style="1" hidden="1" customWidth="1"/>
    <col min="20" max="26" width="8.5" style="1" bestFit="1" customWidth="1"/>
    <col min="27" max="27" width="7.6640625" style="1" hidden="1" customWidth="1"/>
    <col min="28" max="32" width="8.5" style="1" bestFit="1" customWidth="1"/>
    <col min="33" max="36" width="3.5" style="1" bestFit="1" customWidth="1"/>
    <col min="37" max="38" width="8.5" style="1" bestFit="1" customWidth="1"/>
    <col min="39" max="39" width="3.5" style="1" bestFit="1" customWidth="1"/>
    <col min="40" max="40" width="8.5" style="1" bestFit="1" customWidth="1"/>
    <col min="41" max="41" width="3.5" style="1" bestFit="1" customWidth="1"/>
    <col min="42" max="42" width="8.5" style="1" bestFit="1" customWidth="1"/>
    <col min="43" max="43" width="3.5" style="1" bestFit="1" customWidth="1"/>
    <col min="44" max="44" width="8.5" style="61" bestFit="1" customWidth="1"/>
    <col min="45" max="45" width="3.5" bestFit="1" customWidth="1"/>
    <col min="46" max="47" width="8.5" bestFit="1" customWidth="1"/>
    <col min="48" max="48" width="3.5" bestFit="1" customWidth="1"/>
    <col min="49" max="49" width="8.5" style="63" bestFit="1" customWidth="1"/>
    <col min="50" max="52" width="8.5" style="1" bestFit="1" customWidth="1"/>
    <col min="53" max="53" width="30.1640625" bestFit="1" customWidth="1"/>
    <col min="54" max="54" width="8.5" bestFit="1" customWidth="1"/>
    <col min="55" max="56" width="15" bestFit="1" customWidth="1"/>
    <col min="57" max="63" width="8.5" bestFit="1" customWidth="1"/>
    <col min="64" max="70" width="8.33203125" hidden="1" customWidth="1"/>
    <col min="71" max="75" width="8.5" bestFit="1" customWidth="1"/>
    <col min="76" max="77" width="8.33203125" style="1" customWidth="1"/>
    <col min="78" max="78" width="7.6640625" style="1" bestFit="1" customWidth="1"/>
    <col min="79" max="79" width="10.1640625" style="1" bestFit="1" customWidth="1"/>
    <col min="80" max="80" width="33" style="1" bestFit="1" customWidth="1"/>
    <col min="81" max="82" width="7.6640625" style="1" bestFit="1" customWidth="1"/>
    <col min="83" max="83" width="45.83203125" style="1" bestFit="1" customWidth="1"/>
    <col min="84" max="84" width="10.1640625" style="1" bestFit="1" customWidth="1"/>
    <col min="85" max="87" width="6.83203125" style="1" bestFit="1" customWidth="1"/>
    <col min="88" max="88" width="21.33203125" style="1" bestFit="1" customWidth="1"/>
    <col min="89" max="89" width="15.83203125" style="1" bestFit="1" customWidth="1"/>
    <col min="90" max="91" width="9.33203125" bestFit="1" customWidth="1"/>
  </cols>
  <sheetData>
    <row r="1" spans="1:91" ht="27" customHeight="1" thickBot="1" x14ac:dyDescent="0.25">
      <c r="A1" s="145" t="s">
        <v>81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72"/>
      <c r="BY1" s="72"/>
      <c r="BZ1" s="72"/>
      <c r="CA1" s="72"/>
      <c r="CB1" s="72"/>
      <c r="CC1" s="72"/>
      <c r="CD1" s="72"/>
      <c r="CE1" s="72"/>
      <c r="CF1" s="72"/>
      <c r="CG1" s="72"/>
      <c r="CH1" s="72"/>
      <c r="CI1" s="72"/>
      <c r="CJ1" s="72"/>
      <c r="CK1" s="72"/>
    </row>
    <row r="2" spans="1:91" ht="20" thickBot="1" x14ac:dyDescent="0.3">
      <c r="A2" s="143" t="s">
        <v>139</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73"/>
      <c r="BY2" s="73"/>
      <c r="BZ2" s="73"/>
      <c r="CA2" s="73"/>
      <c r="CB2" s="73"/>
      <c r="CC2" s="73"/>
      <c r="CD2" s="73"/>
      <c r="CE2" s="73"/>
      <c r="CF2" s="73"/>
      <c r="CG2" s="73"/>
      <c r="CH2" s="73"/>
      <c r="CI2" s="73"/>
      <c r="CJ2" s="73"/>
      <c r="CK2" s="73"/>
    </row>
    <row r="3" spans="1:91" ht="16" thickBot="1" x14ac:dyDescent="0.25">
      <c r="A3" s="20"/>
      <c r="B3" s="21"/>
      <c r="C3" s="22"/>
      <c r="D3" s="133" t="s">
        <v>1</v>
      </c>
      <c r="E3" s="134"/>
      <c r="F3" s="134"/>
      <c r="G3" s="134"/>
      <c r="H3" s="135"/>
      <c r="I3" s="136" t="s">
        <v>2</v>
      </c>
      <c r="J3" s="137"/>
      <c r="K3" s="137"/>
      <c r="L3" s="137"/>
      <c r="M3" s="137"/>
      <c r="N3" s="137"/>
      <c r="O3" s="137"/>
      <c r="P3" s="137"/>
      <c r="Q3" s="137"/>
      <c r="R3" s="137"/>
      <c r="S3" s="137"/>
      <c r="T3" s="137"/>
      <c r="U3" s="137"/>
      <c r="V3" s="137"/>
      <c r="W3" s="137"/>
      <c r="X3" s="137"/>
      <c r="Y3" s="138"/>
      <c r="Z3" s="133" t="s">
        <v>3</v>
      </c>
      <c r="AA3" s="135"/>
      <c r="AB3" s="26" t="s">
        <v>4</v>
      </c>
      <c r="AC3" s="112" t="s">
        <v>5</v>
      </c>
      <c r="AD3" s="96"/>
      <c r="AE3" s="96"/>
      <c r="AF3" s="96"/>
      <c r="AG3" s="96"/>
      <c r="AH3" s="96"/>
      <c r="AI3" s="96"/>
      <c r="AJ3" s="97"/>
      <c r="AK3" s="26" t="s">
        <v>6</v>
      </c>
      <c r="AL3" s="133" t="s">
        <v>7</v>
      </c>
      <c r="AM3" s="134"/>
      <c r="AN3" s="134"/>
      <c r="AO3" s="134"/>
      <c r="AP3" s="134"/>
      <c r="AQ3" s="134"/>
      <c r="AR3" s="134"/>
      <c r="AS3" s="134"/>
      <c r="AT3" s="134"/>
      <c r="AU3" s="134"/>
      <c r="AV3" s="135"/>
      <c r="AW3" s="133" t="s">
        <v>8</v>
      </c>
      <c r="AX3" s="134"/>
      <c r="AY3" s="134"/>
      <c r="AZ3" s="134"/>
      <c r="BA3" s="134"/>
      <c r="BB3" s="134"/>
      <c r="BC3" s="134"/>
      <c r="BD3" s="135"/>
      <c r="BE3" s="136" t="s">
        <v>9</v>
      </c>
      <c r="BF3" s="137"/>
      <c r="BG3" s="137"/>
      <c r="BH3" s="137"/>
      <c r="BI3" s="137"/>
      <c r="BJ3" s="137"/>
      <c r="BK3" s="137"/>
      <c r="BL3" s="137"/>
      <c r="BM3" s="137"/>
      <c r="BN3" s="137"/>
      <c r="BO3" s="137"/>
      <c r="BP3" s="137"/>
      <c r="BQ3" s="137"/>
      <c r="BR3" s="137"/>
      <c r="BS3" s="139" t="s">
        <v>10</v>
      </c>
      <c r="BT3" s="140"/>
      <c r="BU3" s="140"/>
      <c r="BV3" s="140"/>
      <c r="BW3" s="141"/>
      <c r="BX3" s="34"/>
      <c r="BY3" s="34"/>
      <c r="BZ3" s="34"/>
      <c r="CA3" s="34"/>
      <c r="CB3" s="34"/>
      <c r="CC3" s="34"/>
      <c r="CD3"/>
      <c r="CE3"/>
      <c r="CF3"/>
      <c r="CG3"/>
      <c r="CH3"/>
      <c r="CI3"/>
      <c r="CJ3"/>
      <c r="CK3"/>
    </row>
    <row r="4" spans="1:91" ht="16" thickBot="1" x14ac:dyDescent="0.25">
      <c r="A4" s="23"/>
      <c r="B4" s="24"/>
      <c r="C4" s="25"/>
      <c r="D4" s="23"/>
      <c r="E4" s="24"/>
      <c r="F4" s="24"/>
      <c r="G4" s="24"/>
      <c r="H4" s="25"/>
      <c r="I4" s="88" t="s">
        <v>11</v>
      </c>
      <c r="J4" s="89"/>
      <c r="K4" s="89"/>
      <c r="L4" s="89"/>
      <c r="M4" s="90"/>
      <c r="N4" s="136" t="s">
        <v>88</v>
      </c>
      <c r="O4" s="137"/>
      <c r="P4" s="138"/>
      <c r="Q4" s="136" t="s">
        <v>13</v>
      </c>
      <c r="R4" s="137"/>
      <c r="S4" s="138"/>
      <c r="T4" s="136" t="s">
        <v>14</v>
      </c>
      <c r="U4" s="137"/>
      <c r="V4" s="137"/>
      <c r="W4" s="137"/>
      <c r="X4" s="137"/>
      <c r="Y4" s="138"/>
      <c r="Z4" s="23"/>
      <c r="AA4" s="25"/>
      <c r="AB4" s="27"/>
      <c r="AC4" s="23"/>
      <c r="AD4" s="24"/>
      <c r="AE4" s="24"/>
      <c r="AF4" s="24"/>
      <c r="AG4" s="24"/>
      <c r="AH4" s="24"/>
      <c r="AI4" s="24"/>
      <c r="AJ4" s="25"/>
      <c r="AK4" s="27"/>
      <c r="AL4" s="23"/>
      <c r="AM4" s="24"/>
      <c r="AN4" s="24"/>
      <c r="AO4" s="24"/>
      <c r="AP4" s="24"/>
      <c r="AQ4" s="24"/>
      <c r="AR4" s="24"/>
      <c r="AS4" s="24"/>
      <c r="AT4" s="24"/>
      <c r="AU4" s="24"/>
      <c r="AV4" s="25"/>
      <c r="AW4" s="23"/>
      <c r="AX4" s="24"/>
      <c r="AY4" s="24"/>
      <c r="AZ4" s="24"/>
      <c r="BA4" s="62"/>
      <c r="BB4" s="24"/>
      <c r="BC4" s="24"/>
      <c r="BD4" s="25"/>
      <c r="BE4" s="136" t="s">
        <v>15</v>
      </c>
      <c r="BF4" s="137"/>
      <c r="BG4" s="137"/>
      <c r="BH4" s="137"/>
      <c r="BI4" s="137"/>
      <c r="BJ4" s="137"/>
      <c r="BK4" s="138"/>
      <c r="BL4" s="136" t="s">
        <v>16</v>
      </c>
      <c r="BM4" s="137"/>
      <c r="BN4" s="137"/>
      <c r="BO4" s="137"/>
      <c r="BP4" s="137"/>
      <c r="BQ4" s="137"/>
      <c r="BR4" s="138"/>
      <c r="BS4" s="125"/>
      <c r="BT4" s="99"/>
      <c r="BU4" s="99"/>
      <c r="BV4" s="99"/>
      <c r="BW4" s="100"/>
      <c r="BX4" s="80"/>
      <c r="BY4" s="80"/>
      <c r="BZ4" s="34"/>
      <c r="CA4" s="34"/>
      <c r="CB4" s="34"/>
      <c r="CC4" s="34"/>
      <c r="CD4" s="34"/>
      <c r="CE4" s="34"/>
      <c r="CF4"/>
      <c r="CG4"/>
      <c r="CH4"/>
      <c r="CI4"/>
      <c r="CJ4"/>
      <c r="CK4"/>
    </row>
    <row r="5" spans="1:91" ht="6.75" hidden="1" customHeight="1" thickBot="1" x14ac:dyDescent="0.25">
      <c r="AR5" s="63"/>
      <c r="AS5" s="1"/>
      <c r="AT5" s="1"/>
      <c r="AU5" s="1"/>
      <c r="AV5" s="1"/>
      <c r="BA5" s="1"/>
      <c r="BB5" s="1"/>
      <c r="BC5" s="1"/>
      <c r="BD5" s="1"/>
      <c r="BE5" s="1"/>
      <c r="BF5" s="1"/>
      <c r="BG5" s="1"/>
      <c r="BH5" s="1"/>
      <c r="BI5" s="1"/>
      <c r="BJ5" s="1"/>
      <c r="BK5" s="1"/>
      <c r="BL5" s="1"/>
      <c r="BM5" s="1"/>
      <c r="BN5" s="1"/>
      <c r="BO5" s="1"/>
      <c r="BP5" s="1"/>
      <c r="BQ5" s="1"/>
      <c r="BR5" s="1"/>
      <c r="BS5" s="1"/>
      <c r="BT5" s="1"/>
      <c r="BU5" s="1"/>
      <c r="BV5" s="1"/>
      <c r="BW5" s="1"/>
      <c r="CL5" s="1"/>
      <c r="CM5" s="1"/>
    </row>
    <row r="6" spans="1:91" s="2" customFormat="1" ht="218" thickBot="1" x14ac:dyDescent="0.25">
      <c r="A6" s="6" t="s">
        <v>17</v>
      </c>
      <c r="B6" s="7" t="s">
        <v>18</v>
      </c>
      <c r="C6" s="8" t="s">
        <v>19</v>
      </c>
      <c r="D6" s="3" t="s">
        <v>20</v>
      </c>
      <c r="E6" s="4" t="s">
        <v>21</v>
      </c>
      <c r="F6" s="4" t="s">
        <v>22</v>
      </c>
      <c r="G6" s="4" t="s">
        <v>23</v>
      </c>
      <c r="H6" s="4" t="s">
        <v>24</v>
      </c>
      <c r="I6" s="9" t="s">
        <v>25</v>
      </c>
      <c r="J6" s="10" t="s">
        <v>126</v>
      </c>
      <c r="K6" s="10" t="s">
        <v>127</v>
      </c>
      <c r="L6" s="10" t="s">
        <v>128</v>
      </c>
      <c r="M6" s="11" t="s">
        <v>129</v>
      </c>
      <c r="N6" s="10" t="s">
        <v>26</v>
      </c>
      <c r="O6" s="10" t="s">
        <v>27</v>
      </c>
      <c r="P6" s="11" t="s">
        <v>28</v>
      </c>
      <c r="Q6" s="9" t="s">
        <v>29</v>
      </c>
      <c r="R6" s="10" t="s">
        <v>30</v>
      </c>
      <c r="S6" s="11" t="s">
        <v>31</v>
      </c>
      <c r="T6" s="9" t="s">
        <v>32</v>
      </c>
      <c r="U6" s="10" t="s">
        <v>33</v>
      </c>
      <c r="V6" s="10" t="s">
        <v>34</v>
      </c>
      <c r="W6" s="12" t="s">
        <v>35</v>
      </c>
      <c r="X6" s="12" t="s">
        <v>36</v>
      </c>
      <c r="Y6" s="13" t="s">
        <v>37</v>
      </c>
      <c r="Z6" s="9" t="s">
        <v>15</v>
      </c>
      <c r="AA6" s="11" t="s">
        <v>16</v>
      </c>
      <c r="AB6" s="10" t="s">
        <v>110</v>
      </c>
      <c r="AC6" s="9" t="s">
        <v>38</v>
      </c>
      <c r="AD6" s="10" t="s">
        <v>111</v>
      </c>
      <c r="AE6" s="10" t="s">
        <v>39</v>
      </c>
      <c r="AF6" s="10" t="s">
        <v>40</v>
      </c>
      <c r="AG6" s="94" t="s">
        <v>112</v>
      </c>
      <c r="AH6" s="94" t="s">
        <v>113</v>
      </c>
      <c r="AI6" s="94" t="s">
        <v>114</v>
      </c>
      <c r="AJ6" s="101" t="s">
        <v>115</v>
      </c>
      <c r="AK6" s="14" t="s">
        <v>41</v>
      </c>
      <c r="AL6" s="9" t="s">
        <v>42</v>
      </c>
      <c r="AM6" s="94" t="s">
        <v>122</v>
      </c>
      <c r="AN6" s="10" t="s">
        <v>43</v>
      </c>
      <c r="AO6" s="94" t="s">
        <v>123</v>
      </c>
      <c r="AP6" s="10" t="s">
        <v>45</v>
      </c>
      <c r="AQ6" s="94" t="s">
        <v>124</v>
      </c>
      <c r="AR6" s="10" t="s">
        <v>44</v>
      </c>
      <c r="AS6" s="94" t="s">
        <v>125</v>
      </c>
      <c r="AT6" s="10" t="s">
        <v>116</v>
      </c>
      <c r="AU6" s="10" t="s">
        <v>117</v>
      </c>
      <c r="AV6" s="94" t="s">
        <v>118</v>
      </c>
      <c r="AW6" s="9" t="s">
        <v>46</v>
      </c>
      <c r="AX6" s="10" t="s">
        <v>47</v>
      </c>
      <c r="AY6" s="10" t="s">
        <v>48</v>
      </c>
      <c r="AZ6" s="10" t="s">
        <v>49</v>
      </c>
      <c r="BA6" s="98" t="s">
        <v>50</v>
      </c>
      <c r="BB6" s="10" t="s">
        <v>51</v>
      </c>
      <c r="BC6" s="10" t="s">
        <v>52</v>
      </c>
      <c r="BD6" s="10" t="s">
        <v>108</v>
      </c>
      <c r="BE6" s="9" t="s">
        <v>53</v>
      </c>
      <c r="BF6" s="10" t="s">
        <v>54</v>
      </c>
      <c r="BG6" s="10" t="s">
        <v>55</v>
      </c>
      <c r="BH6" s="10" t="s">
        <v>56</v>
      </c>
      <c r="BI6" s="10" t="s">
        <v>57</v>
      </c>
      <c r="BJ6" s="10" t="s">
        <v>58</v>
      </c>
      <c r="BK6" s="11" t="s">
        <v>59</v>
      </c>
      <c r="BL6" s="9" t="s">
        <v>60</v>
      </c>
      <c r="BM6" s="10" t="s">
        <v>61</v>
      </c>
      <c r="BN6" s="10" t="s">
        <v>62</v>
      </c>
      <c r="BO6" s="10" t="s">
        <v>63</v>
      </c>
      <c r="BP6" s="10" t="s">
        <v>64</v>
      </c>
      <c r="BQ6" s="10" t="s">
        <v>65</v>
      </c>
      <c r="BR6" s="10" t="s">
        <v>66</v>
      </c>
      <c r="BS6" s="9" t="s">
        <v>70</v>
      </c>
      <c r="BT6" s="10" t="s">
        <v>67</v>
      </c>
      <c r="BU6" s="10" t="s">
        <v>68</v>
      </c>
      <c r="BV6" s="10" t="s">
        <v>69</v>
      </c>
      <c r="BW6" s="11" t="s">
        <v>71</v>
      </c>
    </row>
    <row r="7" spans="1:91" ht="16" x14ac:dyDescent="0.2">
      <c r="A7" t="s">
        <v>134</v>
      </c>
      <c r="B7" t="s">
        <v>234</v>
      </c>
      <c r="C7" t="s">
        <v>235</v>
      </c>
      <c r="D7" s="1" t="s">
        <v>73</v>
      </c>
      <c r="E7" s="1" t="s">
        <v>72</v>
      </c>
      <c r="F7" s="1" t="s">
        <v>73</v>
      </c>
      <c r="G7" s="1" t="s">
        <v>73</v>
      </c>
      <c r="I7" s="1">
        <v>16</v>
      </c>
      <c r="J7"/>
      <c r="K7"/>
      <c r="L7"/>
      <c r="M7"/>
      <c r="Q7" s="1" t="s">
        <v>73</v>
      </c>
      <c r="R7" s="1" t="s">
        <v>73</v>
      </c>
      <c r="S7" s="1" t="s">
        <v>73</v>
      </c>
      <c r="T7"/>
      <c r="U7"/>
      <c r="V7"/>
      <c r="W7"/>
      <c r="X7"/>
      <c r="Y7"/>
      <c r="Z7" s="1" t="s">
        <v>73</v>
      </c>
      <c r="AA7" s="1" t="s">
        <v>73</v>
      </c>
      <c r="AB7"/>
      <c r="AC7" s="1">
        <v>5</v>
      </c>
      <c r="AD7"/>
      <c r="AE7"/>
      <c r="AF7"/>
      <c r="AG7">
        <v>5</v>
      </c>
      <c r="AH7"/>
      <c r="AI7"/>
      <c r="AJ7"/>
      <c r="AK7" s="1" t="s">
        <v>73</v>
      </c>
      <c r="AL7" s="1" t="s">
        <v>72</v>
      </c>
      <c r="AM7">
        <v>5</v>
      </c>
      <c r="AN7" s="1" t="s">
        <v>72</v>
      </c>
      <c r="AO7">
        <v>5</v>
      </c>
      <c r="AP7" s="1" t="s">
        <v>73</v>
      </c>
      <c r="AQ7"/>
      <c r="AR7" s="1" t="s">
        <v>72</v>
      </c>
      <c r="AS7">
        <v>5</v>
      </c>
      <c r="AT7" t="s">
        <v>73</v>
      </c>
      <c r="AW7" s="1">
        <v>100</v>
      </c>
      <c r="AX7" s="1">
        <v>8</v>
      </c>
      <c r="AY7" s="1" t="s">
        <v>72</v>
      </c>
      <c r="AZ7" s="1" t="s">
        <v>72</v>
      </c>
      <c r="BA7" s="61" t="s">
        <v>73</v>
      </c>
      <c r="BB7">
        <v>1876</v>
      </c>
      <c r="BC7" s="87">
        <v>45646.477731481478</v>
      </c>
      <c r="BD7" s="87">
        <v>45646.436064814814</v>
      </c>
      <c r="BE7" t="s">
        <v>73</v>
      </c>
      <c r="BF7" t="s">
        <v>73</v>
      </c>
      <c r="BG7" t="s">
        <v>73</v>
      </c>
      <c r="BH7" t="s">
        <v>73</v>
      </c>
      <c r="BI7" t="s">
        <v>73</v>
      </c>
      <c r="BJ7" t="s">
        <v>73</v>
      </c>
      <c r="BL7" t="s">
        <v>73</v>
      </c>
      <c r="BM7" t="s">
        <v>73</v>
      </c>
      <c r="BN7" t="s">
        <v>73</v>
      </c>
      <c r="BO7" t="s">
        <v>73</v>
      </c>
      <c r="BP7" t="s">
        <v>73</v>
      </c>
      <c r="BQ7" s="1" t="s">
        <v>73</v>
      </c>
      <c r="BS7" s="1" t="s">
        <v>73</v>
      </c>
      <c r="BT7" s="1" t="s">
        <v>73</v>
      </c>
      <c r="BU7" s="1" t="s">
        <v>73</v>
      </c>
      <c r="BV7" s="1" t="s">
        <v>73</v>
      </c>
      <c r="BX7"/>
      <c r="BY7"/>
      <c r="BZ7"/>
      <c r="CA7"/>
      <c r="CB7"/>
      <c r="CC7"/>
      <c r="CD7"/>
      <c r="CE7"/>
      <c r="CF7"/>
      <c r="CG7"/>
      <c r="CH7"/>
      <c r="CI7"/>
      <c r="CJ7"/>
      <c r="CK7"/>
    </row>
    <row r="8" spans="1:91" ht="16" x14ac:dyDescent="0.2">
      <c r="A8" t="s">
        <v>134</v>
      </c>
      <c r="B8" t="s">
        <v>224</v>
      </c>
      <c r="C8" t="s">
        <v>225</v>
      </c>
      <c r="D8" s="1" t="s">
        <v>73</v>
      </c>
      <c r="E8" s="1" t="s">
        <v>72</v>
      </c>
      <c r="F8" s="1" t="s">
        <v>73</v>
      </c>
      <c r="G8" s="1" t="s">
        <v>73</v>
      </c>
      <c r="J8"/>
      <c r="K8"/>
      <c r="L8"/>
      <c r="M8"/>
      <c r="Q8" s="1" t="s">
        <v>73</v>
      </c>
      <c r="R8" s="1" t="s">
        <v>73</v>
      </c>
      <c r="S8" s="1" t="s">
        <v>73</v>
      </c>
      <c r="T8"/>
      <c r="U8"/>
      <c r="V8"/>
      <c r="W8"/>
      <c r="X8"/>
      <c r="Y8"/>
      <c r="Z8" s="1" t="s">
        <v>73</v>
      </c>
      <c r="AA8" s="1" t="s">
        <v>73</v>
      </c>
      <c r="AB8"/>
      <c r="AD8"/>
      <c r="AE8"/>
      <c r="AF8"/>
      <c r="AG8"/>
      <c r="AH8"/>
      <c r="AI8"/>
      <c r="AJ8"/>
      <c r="AK8" s="1" t="s">
        <v>73</v>
      </c>
      <c r="AL8" s="1" t="s">
        <v>73</v>
      </c>
      <c r="AM8"/>
      <c r="AN8" s="1" t="s">
        <v>73</v>
      </c>
      <c r="AO8"/>
      <c r="AP8" s="1" t="s">
        <v>73</v>
      </c>
      <c r="AQ8"/>
      <c r="AR8" s="1" t="s">
        <v>73</v>
      </c>
      <c r="AT8" t="s">
        <v>73</v>
      </c>
      <c r="AW8" s="1">
        <v>50</v>
      </c>
      <c r="AX8" s="1">
        <v>6</v>
      </c>
      <c r="AY8" s="1" t="s">
        <v>73</v>
      </c>
      <c r="AZ8" s="1" t="s">
        <v>72</v>
      </c>
      <c r="BA8" s="61" t="s">
        <v>73</v>
      </c>
      <c r="BB8">
        <v>1863</v>
      </c>
      <c r="BC8" s="87">
        <v>45644.607523148145</v>
      </c>
      <c r="BD8" s="87">
        <v>45644.56585648148</v>
      </c>
      <c r="BE8" t="s">
        <v>73</v>
      </c>
      <c r="BF8" t="s">
        <v>73</v>
      </c>
      <c r="BG8" t="s">
        <v>73</v>
      </c>
      <c r="BH8" t="s">
        <v>73</v>
      </c>
      <c r="BI8" t="s">
        <v>73</v>
      </c>
      <c r="BJ8" t="s">
        <v>73</v>
      </c>
      <c r="BL8" t="s">
        <v>73</v>
      </c>
      <c r="BM8" t="s">
        <v>73</v>
      </c>
      <c r="BN8" t="s">
        <v>73</v>
      </c>
      <c r="BO8" t="s">
        <v>73</v>
      </c>
      <c r="BP8" t="s">
        <v>73</v>
      </c>
      <c r="BQ8" s="1" t="s">
        <v>73</v>
      </c>
      <c r="BS8" s="1" t="s">
        <v>73</v>
      </c>
      <c r="BT8" s="1" t="s">
        <v>73</v>
      </c>
      <c r="BU8" s="1" t="s">
        <v>73</v>
      </c>
      <c r="BV8" s="1" t="s">
        <v>73</v>
      </c>
      <c r="BX8"/>
      <c r="BY8"/>
      <c r="BZ8"/>
      <c r="CA8"/>
      <c r="CB8"/>
      <c r="CC8"/>
      <c r="CD8"/>
      <c r="CE8"/>
      <c r="CF8"/>
      <c r="CG8"/>
      <c r="CH8"/>
      <c r="CI8"/>
      <c r="CJ8"/>
      <c r="CK8"/>
    </row>
    <row r="9" spans="1:91" ht="16" x14ac:dyDescent="0.2">
      <c r="A9" t="s">
        <v>134</v>
      </c>
      <c r="B9" t="s">
        <v>205</v>
      </c>
      <c r="C9" t="s">
        <v>206</v>
      </c>
      <c r="D9" s="1" t="s">
        <v>73</v>
      </c>
      <c r="E9" s="1" t="s">
        <v>72</v>
      </c>
      <c r="F9" s="1" t="s">
        <v>73</v>
      </c>
      <c r="G9" s="1" t="s">
        <v>73</v>
      </c>
      <c r="I9" s="1">
        <v>6</v>
      </c>
      <c r="J9">
        <v>6</v>
      </c>
      <c r="K9"/>
      <c r="L9">
        <v>4</v>
      </c>
      <c r="M9"/>
      <c r="Q9" s="1" t="s">
        <v>73</v>
      </c>
      <c r="R9" s="1" t="s">
        <v>73</v>
      </c>
      <c r="S9" s="1" t="s">
        <v>73</v>
      </c>
      <c r="T9"/>
      <c r="U9"/>
      <c r="V9"/>
      <c r="W9"/>
      <c r="X9"/>
      <c r="Y9"/>
      <c r="Z9" s="1" t="s">
        <v>73</v>
      </c>
      <c r="AA9" s="1" t="s">
        <v>73</v>
      </c>
      <c r="AB9"/>
      <c r="AD9"/>
      <c r="AE9"/>
      <c r="AF9"/>
      <c r="AG9"/>
      <c r="AH9"/>
      <c r="AI9"/>
      <c r="AJ9"/>
      <c r="AK9" s="1" t="s">
        <v>73</v>
      </c>
      <c r="AL9" s="1" t="s">
        <v>72</v>
      </c>
      <c r="AM9">
        <v>6</v>
      </c>
      <c r="AN9" s="1" t="s">
        <v>72</v>
      </c>
      <c r="AO9">
        <v>6</v>
      </c>
      <c r="AP9" s="1" t="s">
        <v>73</v>
      </c>
      <c r="AQ9"/>
      <c r="AR9" s="1" t="s">
        <v>72</v>
      </c>
      <c r="AS9">
        <v>6</v>
      </c>
      <c r="AT9" t="s">
        <v>72</v>
      </c>
      <c r="AU9">
        <v>2</v>
      </c>
      <c r="AW9" s="1">
        <v>100</v>
      </c>
      <c r="AX9" s="1">
        <v>8</v>
      </c>
      <c r="AY9" s="1" t="s">
        <v>72</v>
      </c>
      <c r="AZ9" s="1" t="s">
        <v>72</v>
      </c>
      <c r="BA9" s="61" t="s">
        <v>73</v>
      </c>
      <c r="BB9">
        <v>1860</v>
      </c>
      <c r="BC9" s="87">
        <v>45644.473587962966</v>
      </c>
      <c r="BD9" s="87">
        <v>45644.431921296295</v>
      </c>
      <c r="BE9" t="s">
        <v>73</v>
      </c>
      <c r="BF9" t="s">
        <v>73</v>
      </c>
      <c r="BG9" t="s">
        <v>73</v>
      </c>
      <c r="BH9" t="s">
        <v>73</v>
      </c>
      <c r="BI9" t="s">
        <v>73</v>
      </c>
      <c r="BJ9" t="s">
        <v>73</v>
      </c>
      <c r="BL9" t="s">
        <v>73</v>
      </c>
      <c r="BM9" t="s">
        <v>73</v>
      </c>
      <c r="BN9" t="s">
        <v>73</v>
      </c>
      <c r="BO9" t="s">
        <v>73</v>
      </c>
      <c r="BP9" t="s">
        <v>73</v>
      </c>
      <c r="BQ9" s="1" t="s">
        <v>73</v>
      </c>
      <c r="BS9" s="1" t="s">
        <v>73</v>
      </c>
      <c r="BT9" s="1" t="s">
        <v>73</v>
      </c>
      <c r="BU9" s="1" t="s">
        <v>73</v>
      </c>
      <c r="BV9" s="1" t="s">
        <v>73</v>
      </c>
      <c r="BX9"/>
      <c r="BY9"/>
      <c r="BZ9"/>
      <c r="CA9"/>
      <c r="CB9"/>
      <c r="CC9"/>
      <c r="CD9"/>
      <c r="CE9"/>
      <c r="CF9"/>
      <c r="CG9"/>
      <c r="CH9"/>
      <c r="CI9"/>
      <c r="CJ9"/>
      <c r="CK9"/>
    </row>
    <row r="10" spans="1:91" ht="16" x14ac:dyDescent="0.2">
      <c r="A10" t="s">
        <v>134</v>
      </c>
      <c r="B10" t="s">
        <v>207</v>
      </c>
      <c r="C10" t="s">
        <v>236</v>
      </c>
      <c r="D10" s="1" t="s">
        <v>73</v>
      </c>
      <c r="E10" s="1" t="s">
        <v>72</v>
      </c>
      <c r="F10" s="1" t="s">
        <v>72</v>
      </c>
      <c r="G10" s="1" t="s">
        <v>73</v>
      </c>
      <c r="I10" s="1">
        <v>7</v>
      </c>
      <c r="J10"/>
      <c r="K10"/>
      <c r="L10"/>
      <c r="M10"/>
      <c r="Q10" s="1" t="s">
        <v>73</v>
      </c>
      <c r="R10" s="1" t="s">
        <v>73</v>
      </c>
      <c r="S10" s="1" t="s">
        <v>73</v>
      </c>
      <c r="T10"/>
      <c r="U10"/>
      <c r="V10"/>
      <c r="W10"/>
      <c r="X10"/>
      <c r="Y10"/>
      <c r="Z10" s="1" t="s">
        <v>73</v>
      </c>
      <c r="AA10" s="1" t="s">
        <v>73</v>
      </c>
      <c r="AB10"/>
      <c r="AD10"/>
      <c r="AE10"/>
      <c r="AF10"/>
      <c r="AG10"/>
      <c r="AH10"/>
      <c r="AI10"/>
      <c r="AJ10"/>
      <c r="AK10" s="1" t="s">
        <v>72</v>
      </c>
      <c r="AL10" s="1" t="s">
        <v>72</v>
      </c>
      <c r="AM10">
        <v>6</v>
      </c>
      <c r="AN10" s="1" t="s">
        <v>72</v>
      </c>
      <c r="AO10">
        <v>6</v>
      </c>
      <c r="AP10" s="1" t="s">
        <v>73</v>
      </c>
      <c r="AQ10"/>
      <c r="AR10" s="1" t="s">
        <v>72</v>
      </c>
      <c r="AS10">
        <v>6</v>
      </c>
      <c r="AT10" t="s">
        <v>73</v>
      </c>
      <c r="AW10" s="1">
        <v>57</v>
      </c>
      <c r="AX10" s="1">
        <v>2</v>
      </c>
      <c r="AY10" s="1" t="s">
        <v>73</v>
      </c>
      <c r="AZ10" s="1" t="s">
        <v>73</v>
      </c>
      <c r="BA10" s="61" t="s">
        <v>73</v>
      </c>
      <c r="BB10">
        <v>1856</v>
      </c>
      <c r="BC10" s="87">
        <v>45643.504120370373</v>
      </c>
      <c r="BD10" s="87">
        <v>45646.44630787037</v>
      </c>
      <c r="BE10" t="s">
        <v>73</v>
      </c>
      <c r="BF10" t="s">
        <v>73</v>
      </c>
      <c r="BG10" t="s">
        <v>73</v>
      </c>
      <c r="BH10" t="s">
        <v>73</v>
      </c>
      <c r="BI10" t="s">
        <v>73</v>
      </c>
      <c r="BJ10" t="s">
        <v>73</v>
      </c>
      <c r="BL10" t="s">
        <v>73</v>
      </c>
      <c r="BM10" t="s">
        <v>73</v>
      </c>
      <c r="BN10" t="s">
        <v>73</v>
      </c>
      <c r="BO10" t="s">
        <v>73</v>
      </c>
      <c r="BP10" t="s">
        <v>73</v>
      </c>
      <c r="BQ10" s="1" t="s">
        <v>73</v>
      </c>
      <c r="BS10" s="1" t="s">
        <v>73</v>
      </c>
      <c r="BT10" s="1" t="s">
        <v>73</v>
      </c>
      <c r="BU10" s="1" t="s">
        <v>73</v>
      </c>
      <c r="BV10" s="1" t="s">
        <v>73</v>
      </c>
      <c r="BX10"/>
      <c r="BY10"/>
      <c r="BZ10"/>
      <c r="CA10"/>
      <c r="CB10"/>
      <c r="CC10"/>
      <c r="CD10"/>
      <c r="CE10"/>
      <c r="CF10"/>
      <c r="CG10"/>
      <c r="CH10"/>
      <c r="CI10"/>
      <c r="CJ10"/>
      <c r="CK10"/>
    </row>
    <row r="11" spans="1:91" ht="16" x14ac:dyDescent="0.2">
      <c r="A11" t="s">
        <v>134</v>
      </c>
      <c r="B11" t="s">
        <v>208</v>
      </c>
      <c r="C11" t="s">
        <v>209</v>
      </c>
      <c r="D11" s="1" t="s">
        <v>73</v>
      </c>
      <c r="E11" s="1" t="s">
        <v>72</v>
      </c>
      <c r="F11" s="1" t="s">
        <v>72</v>
      </c>
      <c r="G11" s="1" t="s">
        <v>73</v>
      </c>
      <c r="I11" s="1">
        <v>8</v>
      </c>
      <c r="J11">
        <v>10</v>
      </c>
      <c r="K11"/>
      <c r="L11">
        <v>4</v>
      </c>
      <c r="M11">
        <v>4</v>
      </c>
      <c r="Q11" s="1" t="s">
        <v>73</v>
      </c>
      <c r="R11" s="1" t="s">
        <v>73</v>
      </c>
      <c r="S11" s="1" t="s">
        <v>73</v>
      </c>
      <c r="T11"/>
      <c r="U11"/>
      <c r="V11"/>
      <c r="W11"/>
      <c r="X11"/>
      <c r="Y11"/>
      <c r="Z11" s="1" t="s">
        <v>73</v>
      </c>
      <c r="AA11" s="1" t="s">
        <v>73</v>
      </c>
      <c r="AB11"/>
      <c r="AD11"/>
      <c r="AE11"/>
      <c r="AF11"/>
      <c r="AG11"/>
      <c r="AH11"/>
      <c r="AI11"/>
      <c r="AJ11"/>
      <c r="AK11" s="1" t="s">
        <v>73</v>
      </c>
      <c r="AL11" s="1" t="s">
        <v>72</v>
      </c>
      <c r="AM11">
        <v>6</v>
      </c>
      <c r="AN11" s="1" t="s">
        <v>72</v>
      </c>
      <c r="AO11">
        <v>6</v>
      </c>
      <c r="AP11" s="1" t="s">
        <v>73</v>
      </c>
      <c r="AQ11"/>
      <c r="AR11" s="1" t="s">
        <v>72</v>
      </c>
      <c r="AS11">
        <v>6</v>
      </c>
      <c r="AT11" t="s">
        <v>73</v>
      </c>
      <c r="AW11" s="1">
        <v>60</v>
      </c>
      <c r="AX11" s="1">
        <v>18</v>
      </c>
      <c r="AY11" s="1" t="s">
        <v>73</v>
      </c>
      <c r="AZ11" s="1" t="s">
        <v>73</v>
      </c>
      <c r="BA11" s="61" t="s">
        <v>73</v>
      </c>
      <c r="BB11">
        <v>1850</v>
      </c>
      <c r="BC11" s="87">
        <v>45642.834224537037</v>
      </c>
      <c r="BD11" s="87">
        <v>45642.792557870373</v>
      </c>
      <c r="BE11" t="s">
        <v>73</v>
      </c>
      <c r="BF11" t="s">
        <v>73</v>
      </c>
      <c r="BG11" t="s">
        <v>73</v>
      </c>
      <c r="BH11" t="s">
        <v>73</v>
      </c>
      <c r="BI11" t="s">
        <v>73</v>
      </c>
      <c r="BJ11" t="s">
        <v>73</v>
      </c>
      <c r="BL11" t="s">
        <v>73</v>
      </c>
      <c r="BM11" t="s">
        <v>73</v>
      </c>
      <c r="BN11" t="s">
        <v>73</v>
      </c>
      <c r="BO11" t="s">
        <v>73</v>
      </c>
      <c r="BP11" t="s">
        <v>73</v>
      </c>
      <c r="BQ11" s="1" t="s">
        <v>73</v>
      </c>
      <c r="BS11" s="1" t="s">
        <v>73</v>
      </c>
      <c r="BT11" s="1" t="s">
        <v>73</v>
      </c>
      <c r="BU11" s="1" t="s">
        <v>73</v>
      </c>
      <c r="BV11" s="1" t="s">
        <v>73</v>
      </c>
      <c r="BX11"/>
      <c r="BY11"/>
      <c r="BZ11"/>
      <c r="CA11"/>
      <c r="CB11"/>
      <c r="CC11"/>
      <c r="CD11"/>
      <c r="CE11"/>
      <c r="CF11"/>
      <c r="CG11"/>
      <c r="CH11"/>
      <c r="CI11"/>
      <c r="CJ11"/>
      <c r="CK11"/>
    </row>
    <row r="12" spans="1:91" ht="16" x14ac:dyDescent="0.2">
      <c r="A12" t="s">
        <v>134</v>
      </c>
      <c r="B12" t="s">
        <v>210</v>
      </c>
      <c r="C12" t="s">
        <v>211</v>
      </c>
      <c r="D12" s="1" t="s">
        <v>73</v>
      </c>
      <c r="E12" s="1" t="s">
        <v>72</v>
      </c>
      <c r="F12" s="1" t="s">
        <v>72</v>
      </c>
      <c r="G12" s="1" t="s">
        <v>73</v>
      </c>
      <c r="I12" s="1">
        <v>5</v>
      </c>
      <c r="J12">
        <v>3</v>
      </c>
      <c r="K12"/>
      <c r="L12"/>
      <c r="M12"/>
      <c r="N12" s="1">
        <v>4</v>
      </c>
      <c r="Q12" s="1" t="s">
        <v>73</v>
      </c>
      <c r="R12" s="1" t="s">
        <v>73</v>
      </c>
      <c r="S12" s="1" t="s">
        <v>73</v>
      </c>
      <c r="T12">
        <v>3</v>
      </c>
      <c r="U12">
        <v>1</v>
      </c>
      <c r="V12"/>
      <c r="W12">
        <v>3</v>
      </c>
      <c r="X12">
        <v>1</v>
      </c>
      <c r="Y12"/>
      <c r="Z12" s="1" t="s">
        <v>73</v>
      </c>
      <c r="AA12" s="1" t="s">
        <v>73</v>
      </c>
      <c r="AB12"/>
      <c r="AD12"/>
      <c r="AE12"/>
      <c r="AF12"/>
      <c r="AG12"/>
      <c r="AH12"/>
      <c r="AI12"/>
      <c r="AJ12"/>
      <c r="AK12" s="1" t="s">
        <v>72</v>
      </c>
      <c r="AL12" s="1" t="s">
        <v>73</v>
      </c>
      <c r="AM12"/>
      <c r="AN12" s="1" t="s">
        <v>73</v>
      </c>
      <c r="AO12"/>
      <c r="AP12" s="1" t="s">
        <v>73</v>
      </c>
      <c r="AQ12"/>
      <c r="AR12" s="1" t="s">
        <v>73</v>
      </c>
      <c r="AT12" t="s">
        <v>73</v>
      </c>
      <c r="AW12" s="1">
        <v>32</v>
      </c>
      <c r="AX12" s="1">
        <v>7</v>
      </c>
      <c r="AY12" s="1" t="s">
        <v>73</v>
      </c>
      <c r="AZ12" s="1" t="s">
        <v>73</v>
      </c>
      <c r="BA12" s="61" t="s">
        <v>73</v>
      </c>
      <c r="BB12">
        <v>1846</v>
      </c>
      <c r="BC12" s="87">
        <v>45642.806666666664</v>
      </c>
      <c r="BD12" s="87">
        <v>45642.764999999999</v>
      </c>
      <c r="BE12" t="s">
        <v>73</v>
      </c>
      <c r="BF12" t="s">
        <v>73</v>
      </c>
      <c r="BG12" t="s">
        <v>73</v>
      </c>
      <c r="BH12" t="s">
        <v>73</v>
      </c>
      <c r="BI12" t="s">
        <v>73</v>
      </c>
      <c r="BJ12" t="s">
        <v>73</v>
      </c>
      <c r="BL12" t="s">
        <v>73</v>
      </c>
      <c r="BM12" t="s">
        <v>73</v>
      </c>
      <c r="BN12" t="s">
        <v>73</v>
      </c>
      <c r="BO12" t="s">
        <v>73</v>
      </c>
      <c r="BP12" t="s">
        <v>73</v>
      </c>
      <c r="BQ12" s="1" t="s">
        <v>73</v>
      </c>
      <c r="BS12" s="1" t="s">
        <v>73</v>
      </c>
      <c r="BT12" s="1" t="s">
        <v>73</v>
      </c>
      <c r="BU12" s="1" t="s">
        <v>73</v>
      </c>
      <c r="BV12" s="1" t="s">
        <v>73</v>
      </c>
      <c r="BX12"/>
      <c r="BY12"/>
      <c r="BZ12"/>
      <c r="CA12"/>
      <c r="CB12"/>
      <c r="CC12"/>
      <c r="CD12"/>
      <c r="CE12"/>
      <c r="CF12"/>
      <c r="CG12"/>
      <c r="CH12"/>
      <c r="CI12"/>
      <c r="CJ12"/>
      <c r="CK12"/>
    </row>
    <row r="13" spans="1:91" ht="16" x14ac:dyDescent="0.2">
      <c r="A13" t="s">
        <v>134</v>
      </c>
      <c r="B13" t="s">
        <v>203</v>
      </c>
      <c r="C13" t="s">
        <v>204</v>
      </c>
      <c r="D13" s="1" t="s">
        <v>73</v>
      </c>
      <c r="E13" s="1" t="s">
        <v>73</v>
      </c>
      <c r="F13" s="1" t="s">
        <v>73</v>
      </c>
      <c r="G13" s="1" t="s">
        <v>73</v>
      </c>
      <c r="J13"/>
      <c r="K13"/>
      <c r="L13"/>
      <c r="M13"/>
      <c r="Q13" s="1" t="s">
        <v>73</v>
      </c>
      <c r="R13" s="1" t="s">
        <v>73</v>
      </c>
      <c r="S13" s="1" t="s">
        <v>73</v>
      </c>
      <c r="T13"/>
      <c r="U13"/>
      <c r="V13"/>
      <c r="W13"/>
      <c r="X13"/>
      <c r="Y13"/>
      <c r="Z13" s="1" t="s">
        <v>73</v>
      </c>
      <c r="AA13" s="1" t="s">
        <v>73</v>
      </c>
      <c r="AB13"/>
      <c r="AD13"/>
      <c r="AE13"/>
      <c r="AF13"/>
      <c r="AG13"/>
      <c r="AH13"/>
      <c r="AI13"/>
      <c r="AJ13"/>
      <c r="AK13" s="1" t="s">
        <v>73</v>
      </c>
      <c r="AL13" s="1" t="s">
        <v>73</v>
      </c>
      <c r="AM13"/>
      <c r="AN13" s="1" t="s">
        <v>73</v>
      </c>
      <c r="AO13"/>
      <c r="AP13" s="1" t="s">
        <v>73</v>
      </c>
      <c r="AQ13"/>
      <c r="AR13" s="1" t="s">
        <v>73</v>
      </c>
      <c r="AT13" t="s">
        <v>73</v>
      </c>
      <c r="AW13" s="1">
        <v>30</v>
      </c>
      <c r="AX13" s="1">
        <v>2</v>
      </c>
      <c r="AY13" s="1" t="s">
        <v>72</v>
      </c>
      <c r="AZ13" s="1" t="s">
        <v>73</v>
      </c>
      <c r="BA13" s="61" t="s">
        <v>73</v>
      </c>
      <c r="BB13">
        <v>1843</v>
      </c>
      <c r="BC13" s="87">
        <v>45642.664270833331</v>
      </c>
      <c r="BD13" s="87">
        <v>45642.632361111115</v>
      </c>
      <c r="BE13" t="s">
        <v>73</v>
      </c>
      <c r="BF13" t="s">
        <v>73</v>
      </c>
      <c r="BG13" t="s">
        <v>73</v>
      </c>
      <c r="BH13" t="s">
        <v>73</v>
      </c>
      <c r="BI13" t="s">
        <v>73</v>
      </c>
      <c r="BJ13" t="s">
        <v>73</v>
      </c>
      <c r="BL13" t="s">
        <v>73</v>
      </c>
      <c r="BM13" t="s">
        <v>73</v>
      </c>
      <c r="BN13" t="s">
        <v>73</v>
      </c>
      <c r="BO13" t="s">
        <v>73</v>
      </c>
      <c r="BP13" t="s">
        <v>73</v>
      </c>
      <c r="BQ13" s="1" t="s">
        <v>73</v>
      </c>
      <c r="BS13" s="1" t="s">
        <v>73</v>
      </c>
      <c r="BT13" s="1" t="s">
        <v>73</v>
      </c>
      <c r="BU13" s="1" t="s">
        <v>73</v>
      </c>
      <c r="BV13" s="1" t="s">
        <v>73</v>
      </c>
      <c r="BX13"/>
      <c r="BY13"/>
      <c r="BZ13"/>
      <c r="CA13"/>
      <c r="CB13"/>
      <c r="CC13"/>
      <c r="CD13"/>
      <c r="CE13"/>
      <c r="CF13"/>
      <c r="CG13"/>
      <c r="CH13"/>
      <c r="CI13"/>
      <c r="CJ13"/>
      <c r="CK13"/>
    </row>
    <row r="14" spans="1:91" ht="16" x14ac:dyDescent="0.2">
      <c r="A14" t="s">
        <v>134</v>
      </c>
      <c r="B14" t="s">
        <v>192</v>
      </c>
      <c r="C14" t="s">
        <v>193</v>
      </c>
      <c r="D14" s="1" t="s">
        <v>73</v>
      </c>
      <c r="E14" s="1" t="s">
        <v>72</v>
      </c>
      <c r="F14" s="1" t="s">
        <v>72</v>
      </c>
      <c r="G14" s="1" t="s">
        <v>73</v>
      </c>
      <c r="I14" s="1">
        <v>8</v>
      </c>
      <c r="J14"/>
      <c r="K14"/>
      <c r="L14"/>
      <c r="M14"/>
      <c r="Q14" s="1" t="s">
        <v>73</v>
      </c>
      <c r="R14" s="1" t="s">
        <v>73</v>
      </c>
      <c r="S14" s="1" t="s">
        <v>73</v>
      </c>
      <c r="T14"/>
      <c r="U14"/>
      <c r="V14"/>
      <c r="W14"/>
      <c r="X14"/>
      <c r="Y14"/>
      <c r="Z14" s="1" t="s">
        <v>73</v>
      </c>
      <c r="AA14" s="1" t="s">
        <v>73</v>
      </c>
      <c r="AB14"/>
      <c r="AC14" s="1">
        <v>3</v>
      </c>
      <c r="AD14"/>
      <c r="AE14"/>
      <c r="AF14"/>
      <c r="AG14">
        <v>3</v>
      </c>
      <c r="AH14"/>
      <c r="AI14"/>
      <c r="AJ14"/>
      <c r="AK14" s="1" t="s">
        <v>72</v>
      </c>
      <c r="AL14" s="1" t="s">
        <v>72</v>
      </c>
      <c r="AM14">
        <v>6</v>
      </c>
      <c r="AN14" s="1" t="s">
        <v>72</v>
      </c>
      <c r="AO14">
        <v>4</v>
      </c>
      <c r="AP14" s="1" t="s">
        <v>73</v>
      </c>
      <c r="AQ14"/>
      <c r="AR14" s="1" t="s">
        <v>72</v>
      </c>
      <c r="AS14">
        <v>6</v>
      </c>
      <c r="AT14" t="s">
        <v>73</v>
      </c>
      <c r="AW14" s="1">
        <v>60</v>
      </c>
      <c r="AX14" s="1">
        <v>1</v>
      </c>
      <c r="AY14" s="1" t="s">
        <v>72</v>
      </c>
      <c r="AZ14" s="1" t="s">
        <v>72</v>
      </c>
      <c r="BA14" s="61" t="s">
        <v>73</v>
      </c>
      <c r="BB14">
        <v>1840</v>
      </c>
      <c r="BC14" s="87">
        <v>45641.723495370374</v>
      </c>
      <c r="BD14" s="87">
        <v>45641.681828703702</v>
      </c>
      <c r="BE14" t="s">
        <v>73</v>
      </c>
      <c r="BF14" t="s">
        <v>73</v>
      </c>
      <c r="BG14" t="s">
        <v>73</v>
      </c>
      <c r="BH14" t="s">
        <v>73</v>
      </c>
      <c r="BI14" t="s">
        <v>73</v>
      </c>
      <c r="BJ14" t="s">
        <v>73</v>
      </c>
      <c r="BL14" t="s">
        <v>73</v>
      </c>
      <c r="BM14" t="s">
        <v>73</v>
      </c>
      <c r="BN14" t="s">
        <v>73</v>
      </c>
      <c r="BO14" t="s">
        <v>73</v>
      </c>
      <c r="BP14" t="s">
        <v>73</v>
      </c>
      <c r="BQ14" s="1" t="s">
        <v>73</v>
      </c>
      <c r="BS14" s="1" t="s">
        <v>73</v>
      </c>
      <c r="BT14" s="1" t="s">
        <v>73</v>
      </c>
      <c r="BU14" s="1" t="s">
        <v>73</v>
      </c>
      <c r="BV14" s="1" t="s">
        <v>73</v>
      </c>
      <c r="BX14"/>
      <c r="BY14"/>
      <c r="BZ14"/>
      <c r="CA14"/>
      <c r="CB14"/>
      <c r="CC14"/>
      <c r="CD14"/>
      <c r="CE14"/>
      <c r="CF14"/>
      <c r="CG14"/>
      <c r="CH14"/>
      <c r="CI14"/>
      <c r="CJ14"/>
      <c r="CK14"/>
    </row>
    <row r="15" spans="1:91" ht="97" thickBot="1" x14ac:dyDescent="0.25">
      <c r="A15" t="s">
        <v>134</v>
      </c>
      <c r="B15" t="s">
        <v>174</v>
      </c>
      <c r="C15" t="s">
        <v>130</v>
      </c>
      <c r="D15" s="1" t="s">
        <v>73</v>
      </c>
      <c r="E15" s="1" t="s">
        <v>72</v>
      </c>
      <c r="F15" s="1" t="s">
        <v>73</v>
      </c>
      <c r="G15" s="1" t="s">
        <v>73</v>
      </c>
      <c r="I15" s="1">
        <v>4</v>
      </c>
      <c r="J15"/>
      <c r="K15"/>
      <c r="L15"/>
      <c r="M15"/>
      <c r="Q15" s="1" t="s">
        <v>73</v>
      </c>
      <c r="R15" s="1" t="s">
        <v>73</v>
      </c>
      <c r="S15" s="1" t="s">
        <v>73</v>
      </c>
      <c r="T15"/>
      <c r="U15"/>
      <c r="V15"/>
      <c r="W15"/>
      <c r="X15"/>
      <c r="Y15"/>
      <c r="Z15" s="1" t="s">
        <v>73</v>
      </c>
      <c r="AA15" s="1" t="s">
        <v>73</v>
      </c>
      <c r="AB15"/>
      <c r="AD15"/>
      <c r="AE15"/>
      <c r="AF15"/>
      <c r="AG15"/>
      <c r="AH15"/>
      <c r="AI15"/>
      <c r="AJ15"/>
      <c r="AK15" s="1" t="s">
        <v>73</v>
      </c>
      <c r="AL15" s="1" t="s">
        <v>72</v>
      </c>
      <c r="AM15">
        <v>4</v>
      </c>
      <c r="AN15" s="1" t="s">
        <v>72</v>
      </c>
      <c r="AO15">
        <v>4</v>
      </c>
      <c r="AP15" s="1" t="s">
        <v>73</v>
      </c>
      <c r="AQ15"/>
      <c r="AR15" s="1" t="s">
        <v>73</v>
      </c>
      <c r="AT15" t="s">
        <v>73</v>
      </c>
      <c r="AW15" s="1">
        <v>50</v>
      </c>
      <c r="AX15" s="1">
        <v>0</v>
      </c>
      <c r="AY15" s="1" t="s">
        <v>73</v>
      </c>
      <c r="AZ15" s="1" t="s">
        <v>73</v>
      </c>
      <c r="BA15" s="61" t="s">
        <v>131</v>
      </c>
      <c r="BB15">
        <v>1809</v>
      </c>
      <c r="BC15" s="87">
        <v>45628.780671296299</v>
      </c>
      <c r="BD15" s="87">
        <v>45631.711145833331</v>
      </c>
      <c r="BE15" t="s">
        <v>73</v>
      </c>
      <c r="BF15" t="s">
        <v>73</v>
      </c>
      <c r="BG15" t="s">
        <v>73</v>
      </c>
      <c r="BH15" t="s">
        <v>73</v>
      </c>
      <c r="BI15" t="s">
        <v>73</v>
      </c>
      <c r="BJ15" t="s">
        <v>73</v>
      </c>
      <c r="BL15" t="s">
        <v>73</v>
      </c>
      <c r="BM15" t="s">
        <v>73</v>
      </c>
      <c r="BN15" t="s">
        <v>73</v>
      </c>
      <c r="BO15" t="s">
        <v>73</v>
      </c>
      <c r="BP15" t="s">
        <v>73</v>
      </c>
      <c r="BQ15" s="1" t="s">
        <v>73</v>
      </c>
      <c r="BS15" s="1" t="s">
        <v>73</v>
      </c>
      <c r="BT15" s="1" t="s">
        <v>73</v>
      </c>
      <c r="BU15" s="1" t="s">
        <v>73</v>
      </c>
      <c r="BV15" s="1" t="s">
        <v>73</v>
      </c>
      <c r="BX15"/>
      <c r="BY15"/>
      <c r="BZ15"/>
      <c r="CA15"/>
      <c r="CB15"/>
      <c r="CC15"/>
      <c r="CD15"/>
      <c r="CE15"/>
      <c r="CF15"/>
      <c r="CG15"/>
      <c r="CH15"/>
      <c r="CI15"/>
      <c r="CJ15"/>
      <c r="CK15"/>
    </row>
    <row r="16" spans="1:91" ht="16" thickTop="1" x14ac:dyDescent="0.2">
      <c r="A16" t="s">
        <v>79</v>
      </c>
      <c r="C16">
        <f>SUBTOTAL(103,KDL[Naam vereniging])</f>
        <v>9</v>
      </c>
      <c r="D16" s="1">
        <f>COUNTIF(KDL[Delegatie],"x")</f>
        <v>0</v>
      </c>
      <c r="E16" s="16">
        <f>COUNTIF(KDL[Muziekkorps bij mars en defilé],"x")</f>
        <v>8</v>
      </c>
      <c r="F16" s="16">
        <f>COUNTIF(KDL[Deeln. jeugdkoningschieten],"x")</f>
        <v>4</v>
      </c>
      <c r="G16" s="16">
        <f>COUNTIF(KDL[Maj. Senioren jureren bij mars],"x")</f>
        <v>0</v>
      </c>
      <c r="H16" s="16">
        <f>COUNTIF(KDL[Maj. Jeugd jureren bij mars],"x")</f>
        <v>0</v>
      </c>
      <c r="I16" s="1">
        <f>SUBTOTAL(103,KDL[Korps senioren])</f>
        <v>7</v>
      </c>
      <c r="J16" s="1">
        <f>SUBTOTAL(103,KDL[Junioren korps 1])</f>
        <v>3</v>
      </c>
      <c r="K16" s="1">
        <f>SUBTOTAL(103,KDL[Junioren korps 2])</f>
        <v>0</v>
      </c>
      <c r="L16" s="1">
        <f>SUBTOTAL(103,KDL[Aspiranten korps 1])</f>
        <v>2</v>
      </c>
      <c r="M16" s="1">
        <f>SUBTOTAL(103,KDL[Aspiranten korps 2])</f>
        <v>1</v>
      </c>
      <c r="N16" s="1">
        <f>SUBTOTAL(103,KDL[Acrobatisch senioren])</f>
        <v>1</v>
      </c>
      <c r="O16" s="1">
        <f>SUBTOTAL(103,KDL[Acrobatisch junioren])</f>
        <v>0</v>
      </c>
      <c r="P16" s="1">
        <f>SUBTOTAL(103,KDL[Acrobatisch aspiranten])</f>
        <v>0</v>
      </c>
      <c r="T16" s="79">
        <f>SUBTOTAL(109,KDL[Senioren indiv.])</f>
        <v>3</v>
      </c>
      <c r="U16" s="79">
        <f>SUBTOTAL(109,KDL[Junioren indiv.])</f>
        <v>1</v>
      </c>
      <c r="V16" s="1">
        <f>SUBTOTAL(109,KDL[Aspiranten indiv.])</f>
        <v>0</v>
      </c>
      <c r="W16" s="1">
        <f>SUBTOTAL(109,KDL[Sen. ind opgegeven namen])</f>
        <v>3</v>
      </c>
      <c r="X16" s="1">
        <f>SUBTOTAL(109,KDL[Jun. ind opgegeven namen])</f>
        <v>1</v>
      </c>
      <c r="Y16" s="1">
        <f>SUBTOTAL(109,KDL[Asp. ind opgegeven namen])</f>
        <v>0</v>
      </c>
      <c r="Z16" s="16">
        <f>COUNTIF(KDL[Hoofdkorps],"x")</f>
        <v>0</v>
      </c>
      <c r="AA16" s="120">
        <f>COUNTIF(KDL[2e korps],"x")</f>
        <v>0</v>
      </c>
      <c r="AB16" s="1">
        <f>SUBTOTAL(109,KDL[Groepen, teams, ensembles en duo''s])</f>
        <v>0</v>
      </c>
      <c r="AC16" s="1">
        <f>SUBTOTAL(109,KDL[Senioren])</f>
        <v>8</v>
      </c>
      <c r="AD16" s="1">
        <f>SUBTOTAL(109,KDL[Jong volwassene])</f>
        <v>0</v>
      </c>
      <c r="AE16" s="1">
        <f>SUBTOTAL(109,KDL[Junioren])</f>
        <v>0</v>
      </c>
      <c r="AF16" s="1">
        <f>SUBTOTAL(109,KDL[Aspiranten])</f>
        <v>0</v>
      </c>
      <c r="AG16" s="1">
        <f>SUBTOTAL(109,KDL[Opgegeven senioren])</f>
        <v>8</v>
      </c>
      <c r="AH16" s="1">
        <f>SUBTOTAL(109,KDL[Opgegeven jong volwassene])</f>
        <v>0</v>
      </c>
      <c r="AI16" s="1">
        <f>SUBTOTAL(109,KDL[Opgegeven junioren])</f>
        <v>0</v>
      </c>
      <c r="AJ16" s="1">
        <f>SUBTOTAL(109,KDL[Opgegeven aspiranten])</f>
        <v>0</v>
      </c>
      <c r="AK16" s="1">
        <f>COUNTIF(KDL[Marketentsters],"x")</f>
        <v>3</v>
      </c>
      <c r="AL16" s="1">
        <f>COUNTIF(KDL[Luchtgeweer],"x")</f>
        <v>6</v>
      </c>
      <c r="AM16" s="1">
        <f>SUBTOTAL(109,KDL[Aantal luchtgeweerschutters])</f>
        <v>33</v>
      </c>
      <c r="AN16" s="1">
        <f>COUNTIF(KDL[Luchtpistool],"x")</f>
        <v>6</v>
      </c>
      <c r="AO16" s="1">
        <f>SUBTOTAL(109,KDL[Aantal luchtpistoolschutters])</f>
        <v>31</v>
      </c>
      <c r="AP16" s="1">
        <f>COUNTIF(KDL[Handboog],"x")</f>
        <v>0</v>
      </c>
      <c r="AQ16" s="1">
        <f>SUBTOTAL(109,KDL[Aantal handboogschutters])</f>
        <v>0</v>
      </c>
      <c r="AR16" s="1">
        <f>COUNTIF(KDL[Kruisboog],"x")</f>
        <v>5</v>
      </c>
      <c r="AS16" s="1">
        <f>SUBTOTAL(109,KDL[Aantal kruisboogschutters])</f>
        <v>29</v>
      </c>
      <c r="AT16" s="1">
        <f>COUNTIF(KDL[Luchtgeweer jeugd niet ouder dan 17 jaar.],"x")</f>
        <v>1</v>
      </c>
      <c r="AU16" s="1">
        <f>SUBTOTAL(109,KDL[Aantal korpsen])</f>
        <v>2</v>
      </c>
      <c r="AV16" s="1">
        <f>SUBTOTAL(109,KDL[Opgegeven jeugdkorpsen LG])</f>
        <v>0</v>
      </c>
      <c r="AW16" s="1">
        <f>SUBTOTAL(109,KDL[Totaal aantal deelnemers])</f>
        <v>539</v>
      </c>
      <c r="AX16" s="1">
        <f>SUBTOTAL(109,KDL[Waarvan aantal jeugd (t/m 15 jaar)])</f>
        <v>52</v>
      </c>
      <c r="AY16" s="86">
        <f>COUNTIF(KDL[Kanon etc.],"x")</f>
        <v>4</v>
      </c>
      <c r="AZ16" s="1">
        <f>COUNTIF(KDL[Paarden en/of koetsen],"x")</f>
        <v>4</v>
      </c>
      <c r="BA16" s="63"/>
      <c r="BB16" s="1"/>
      <c r="BC16" s="1"/>
      <c r="BD16" s="1"/>
      <c r="BE16" s="1"/>
      <c r="BF16" s="1"/>
      <c r="BG16" s="1"/>
      <c r="BH16" s="1"/>
      <c r="BI16" s="1"/>
      <c r="BJ16" s="1"/>
      <c r="BK16" s="1"/>
      <c r="BL16" s="1"/>
      <c r="BM16" s="1"/>
      <c r="BN16" s="1"/>
      <c r="BO16" s="1"/>
      <c r="BP16" s="1"/>
      <c r="BQ16" s="1"/>
      <c r="BR16" s="1"/>
      <c r="BS16" s="1"/>
      <c r="BT16" s="1"/>
      <c r="BU16" s="1"/>
      <c r="BV16" s="1"/>
      <c r="BW16" s="1">
        <f>SUBTOTAL(109,KDL[Aantal opgegeven majorettes])</f>
        <v>0</v>
      </c>
      <c r="BX16"/>
      <c r="BY16"/>
      <c r="BZ16"/>
      <c r="CA16"/>
      <c r="CB16"/>
      <c r="CC16"/>
      <c r="CD16"/>
      <c r="CE16"/>
      <c r="CF16"/>
      <c r="CG16"/>
      <c r="CH16"/>
      <c r="CI16"/>
      <c r="CJ16"/>
      <c r="CK16"/>
    </row>
    <row r="17" spans="2:89" x14ac:dyDescent="0.2">
      <c r="BX17"/>
      <c r="BY17"/>
      <c r="BZ17"/>
      <c r="CA17"/>
      <c r="CB17"/>
      <c r="CC17"/>
      <c r="CD17"/>
      <c r="CE17"/>
      <c r="CF17"/>
      <c r="CG17"/>
      <c r="CH17"/>
      <c r="CI17"/>
      <c r="CJ17"/>
      <c r="CK17"/>
    </row>
    <row r="18" spans="2:89" x14ac:dyDescent="0.2">
      <c r="BX18"/>
      <c r="BY18"/>
      <c r="BZ18"/>
      <c r="CA18"/>
      <c r="CB18"/>
      <c r="CC18"/>
      <c r="CD18"/>
      <c r="CE18"/>
      <c r="CF18"/>
      <c r="CG18"/>
      <c r="CH18"/>
      <c r="CI18"/>
      <c r="CJ18"/>
      <c r="CK18"/>
    </row>
    <row r="19" spans="2:89" x14ac:dyDescent="0.2">
      <c r="C19" s="32"/>
      <c r="BX19"/>
      <c r="BY19"/>
      <c r="BZ19"/>
      <c r="CA19"/>
      <c r="CB19"/>
      <c r="CC19"/>
      <c r="CD19"/>
      <c r="CE19"/>
      <c r="CF19"/>
      <c r="CG19"/>
      <c r="CH19"/>
      <c r="CI19"/>
      <c r="CJ19"/>
      <c r="CK19"/>
    </row>
    <row r="20" spans="2:89" x14ac:dyDescent="0.2">
      <c r="B20" s="81"/>
      <c r="C20" s="81"/>
      <c r="D20" s="70"/>
      <c r="R20" s="70"/>
      <c r="BX20"/>
      <c r="BY20"/>
      <c r="BZ20"/>
      <c r="CA20"/>
      <c r="CB20"/>
      <c r="CC20"/>
      <c r="CD20"/>
      <c r="CE20"/>
      <c r="CF20"/>
      <c r="CG20"/>
      <c r="CH20"/>
      <c r="CI20"/>
      <c r="CJ20"/>
      <c r="CK20"/>
    </row>
    <row r="21" spans="2:89" x14ac:dyDescent="0.2">
      <c r="BX21"/>
      <c r="BY21"/>
      <c r="BZ21"/>
      <c r="CA21"/>
      <c r="CB21"/>
      <c r="CC21"/>
      <c r="CD21"/>
      <c r="CE21"/>
      <c r="CF21"/>
      <c r="CG21"/>
      <c r="CH21"/>
      <c r="CI21"/>
      <c r="CJ21"/>
      <c r="CK21"/>
    </row>
    <row r="22" spans="2:89" x14ac:dyDescent="0.2">
      <c r="BX22"/>
      <c r="BY22"/>
      <c r="BZ22"/>
      <c r="CA22"/>
      <c r="CB22"/>
      <c r="CC22"/>
      <c r="CD22"/>
      <c r="CE22"/>
      <c r="CF22"/>
      <c r="CG22"/>
      <c r="CH22"/>
      <c r="CI22"/>
      <c r="CJ22"/>
      <c r="CK22"/>
    </row>
    <row r="23" spans="2:89" x14ac:dyDescent="0.2">
      <c r="BX23"/>
      <c r="BY23"/>
      <c r="BZ23"/>
      <c r="CA23"/>
      <c r="CB23"/>
      <c r="CC23"/>
      <c r="CD23"/>
      <c r="CE23"/>
      <c r="CF23"/>
      <c r="CG23"/>
      <c r="CH23"/>
      <c r="CI23"/>
      <c r="CJ23"/>
      <c r="CK23"/>
    </row>
    <row r="24" spans="2:89" x14ac:dyDescent="0.2">
      <c r="BX24"/>
      <c r="BY24"/>
      <c r="BZ24"/>
      <c r="CA24"/>
      <c r="CB24"/>
      <c r="CC24"/>
      <c r="CD24"/>
      <c r="CE24"/>
      <c r="CF24"/>
      <c r="CG24"/>
      <c r="CH24"/>
      <c r="CI24"/>
      <c r="CJ24"/>
      <c r="CK24"/>
    </row>
    <row r="25" spans="2:89" x14ac:dyDescent="0.2">
      <c r="BX25"/>
      <c r="BY25"/>
      <c r="BZ25"/>
      <c r="CA25"/>
      <c r="CB25"/>
      <c r="CC25"/>
      <c r="CD25"/>
      <c r="CE25"/>
      <c r="CF25"/>
      <c r="CG25"/>
      <c r="CH25"/>
      <c r="CI25"/>
      <c r="CJ25"/>
      <c r="CK25"/>
    </row>
    <row r="26" spans="2:89" x14ac:dyDescent="0.2">
      <c r="BX26"/>
      <c r="BY26"/>
      <c r="BZ26"/>
      <c r="CA26"/>
      <c r="CB26"/>
      <c r="CC26"/>
      <c r="CD26"/>
      <c r="CE26"/>
      <c r="CF26"/>
      <c r="CG26"/>
      <c r="CH26"/>
      <c r="CI26"/>
      <c r="CJ26"/>
      <c r="CK26"/>
    </row>
  </sheetData>
  <mergeCells count="14">
    <mergeCell ref="A1:BW1"/>
    <mergeCell ref="A2:BW2"/>
    <mergeCell ref="N4:P4"/>
    <mergeCell ref="Q4:S4"/>
    <mergeCell ref="T4:Y4"/>
    <mergeCell ref="BE4:BK4"/>
    <mergeCell ref="BL4:BR4"/>
    <mergeCell ref="AL3:AV3"/>
    <mergeCell ref="BE3:BR3"/>
    <mergeCell ref="D3:H3"/>
    <mergeCell ref="I3:Y3"/>
    <mergeCell ref="Z3:AA3"/>
    <mergeCell ref="BS3:BW3"/>
    <mergeCell ref="AW3:BD3"/>
  </mergeCells>
  <phoneticPr fontId="2" type="noConversion"/>
  <conditionalFormatting sqref="W6:X15">
    <cfRule type="expression" dxfId="25" priority="1">
      <formula>$T6-$W6&lt;&gt;0</formula>
    </cfRule>
  </conditionalFormatting>
  <conditionalFormatting sqref="X6:X15">
    <cfRule type="expression" dxfId="24" priority="2">
      <formula>$U6-$X6&lt;&gt;0</formula>
    </cfRule>
  </conditionalFormatting>
  <conditionalFormatting sqref="Y6:Y15">
    <cfRule type="expression" dxfId="23" priority="3">
      <formula>$V6-$Y6&lt;&gt;0</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740E9-934D-46C6-9E7F-C57A0A7E69F5}">
  <dimension ref="A1:CW21"/>
  <sheetViews>
    <sheetView zoomScale="110" zoomScaleNormal="110" workbookViewId="0">
      <pane xSplit="3" ySplit="6" topLeftCell="D7" activePane="bottomRight" state="frozen"/>
      <selection pane="topRight" activeCell="D1" sqref="D1"/>
      <selection pane="bottomLeft" activeCell="A7" sqref="A7"/>
      <selection pane="bottomRight" activeCell="A19" sqref="A19:XFD19"/>
    </sheetView>
  </sheetViews>
  <sheetFormatPr baseColWidth="10" defaultColWidth="9.1640625" defaultRowHeight="15" x14ac:dyDescent="0.2"/>
  <cols>
    <col min="1" max="1" width="10.33203125" bestFit="1" customWidth="1"/>
    <col min="2" max="2" width="8.6640625" bestFit="1" customWidth="1"/>
    <col min="3" max="3" width="38.1640625" bestFit="1" customWidth="1"/>
    <col min="4" max="4" width="3.5" style="1" bestFit="1" customWidth="1"/>
    <col min="5" max="16" width="8.5" style="1" bestFit="1" customWidth="1"/>
    <col min="17" max="19" width="7.6640625" style="1" hidden="1" customWidth="1"/>
    <col min="20" max="26" width="8.5" style="1" bestFit="1" customWidth="1"/>
    <col min="27" max="27" width="7.6640625" style="1" hidden="1" customWidth="1"/>
    <col min="28" max="32" width="8.5" style="1" bestFit="1" customWidth="1"/>
    <col min="33" max="36" width="3.5" style="1" bestFit="1" customWidth="1"/>
    <col min="37" max="38" width="8.5" style="1" bestFit="1" customWidth="1"/>
    <col min="39" max="39" width="3.5" bestFit="1" customWidth="1"/>
    <col min="40" max="40" width="8.5" style="1" bestFit="1" customWidth="1"/>
    <col min="41" max="41" width="3.5" style="1" bestFit="1" customWidth="1"/>
    <col min="42" max="42" width="8.5" style="1" bestFit="1" customWidth="1"/>
    <col min="43" max="43" width="3.5" bestFit="1" customWidth="1"/>
    <col min="44" max="44" width="8.5" style="61" bestFit="1" customWidth="1"/>
    <col min="45" max="45" width="3.5" bestFit="1" customWidth="1"/>
    <col min="46" max="48" width="8.5" style="1" bestFit="1" customWidth="1"/>
    <col min="49" max="49" width="8.5" style="63" bestFit="1" customWidth="1"/>
    <col min="50" max="50" width="8.5" style="1" bestFit="1" customWidth="1"/>
    <col min="51" max="52" width="8.5" bestFit="1" customWidth="1"/>
    <col min="53" max="53" width="55.33203125" bestFit="1" customWidth="1"/>
    <col min="54" max="54" width="8.5" bestFit="1" customWidth="1"/>
    <col min="55" max="56" width="15" bestFit="1" customWidth="1"/>
    <col min="57" max="57" width="25.1640625" bestFit="1" customWidth="1"/>
    <col min="58" max="58" width="8.5" bestFit="1" customWidth="1"/>
    <col min="59" max="59" width="31" bestFit="1" customWidth="1"/>
    <col min="60" max="60" width="28.33203125" bestFit="1" customWidth="1"/>
    <col min="61" max="63" width="8.5" bestFit="1" customWidth="1"/>
    <col min="64" max="70" width="8.33203125" hidden="1" customWidth="1"/>
    <col min="71" max="75" width="8.5" bestFit="1" customWidth="1"/>
    <col min="76" max="76" width="8" bestFit="1" customWidth="1"/>
    <col min="77" max="77" width="8.33203125" bestFit="1" customWidth="1"/>
    <col min="78" max="79" width="7.6640625" bestFit="1" customWidth="1"/>
    <col min="80" max="83" width="7.6640625" customWidth="1"/>
    <col min="84" max="90" width="7.6640625" style="1" customWidth="1"/>
    <col min="91" max="91" width="10.1640625" style="1" bestFit="1" customWidth="1"/>
    <col min="92" max="92" width="33" style="1" bestFit="1" customWidth="1"/>
    <col min="93" max="93" width="10.1640625" style="1" bestFit="1" customWidth="1"/>
    <col min="94" max="97" width="6.83203125" style="1" bestFit="1" customWidth="1"/>
    <col min="98" max="98" width="15.6640625" style="1" bestFit="1" customWidth="1"/>
  </cols>
  <sheetData>
    <row r="1" spans="1:101" ht="27" customHeight="1" x14ac:dyDescent="0.2">
      <c r="A1" s="142" t="s">
        <v>82</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72"/>
      <c r="CI1" s="72"/>
      <c r="CJ1" s="72"/>
      <c r="CK1" s="72"/>
      <c r="CL1" s="72"/>
      <c r="CM1" s="72"/>
      <c r="CN1" s="72"/>
      <c r="CO1" s="72"/>
      <c r="CP1" s="72"/>
      <c r="CQ1" s="72"/>
      <c r="CR1" s="72"/>
      <c r="CS1" s="72"/>
      <c r="CT1" s="72"/>
    </row>
    <row r="2" spans="1:101" ht="20" thickBot="1" x14ac:dyDescent="0.3">
      <c r="A2" s="143" t="s">
        <v>141</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73"/>
      <c r="CI2" s="73"/>
      <c r="CJ2" s="73"/>
      <c r="CK2" s="73"/>
      <c r="CL2" s="73"/>
      <c r="CM2" s="73"/>
      <c r="CN2" s="73"/>
      <c r="CO2" s="73"/>
      <c r="CP2" s="73"/>
      <c r="CQ2" s="73"/>
      <c r="CR2" s="73"/>
      <c r="CS2" s="73"/>
      <c r="CT2" s="73"/>
    </row>
    <row r="3" spans="1:101" ht="16" thickBot="1" x14ac:dyDescent="0.25">
      <c r="A3" s="20"/>
      <c r="B3" s="21"/>
      <c r="C3" s="22"/>
      <c r="D3" s="133" t="s">
        <v>1</v>
      </c>
      <c r="E3" s="134"/>
      <c r="F3" s="134"/>
      <c r="G3" s="134"/>
      <c r="H3" s="135"/>
      <c r="I3" s="136" t="s">
        <v>2</v>
      </c>
      <c r="J3" s="137"/>
      <c r="K3" s="137"/>
      <c r="L3" s="137"/>
      <c r="M3" s="137"/>
      <c r="N3" s="137"/>
      <c r="O3" s="137"/>
      <c r="P3" s="137"/>
      <c r="Q3" s="137"/>
      <c r="R3" s="137"/>
      <c r="S3" s="137"/>
      <c r="T3" s="137"/>
      <c r="U3" s="137"/>
      <c r="V3" s="137"/>
      <c r="W3" s="137"/>
      <c r="X3" s="137"/>
      <c r="Y3" s="138"/>
      <c r="Z3" s="133" t="s">
        <v>3</v>
      </c>
      <c r="AA3" s="135"/>
      <c r="AB3" s="26" t="s">
        <v>4</v>
      </c>
      <c r="AC3" s="95" t="s">
        <v>5</v>
      </c>
      <c r="AD3" s="96"/>
      <c r="AE3" s="96"/>
      <c r="AF3" s="96"/>
      <c r="AG3" s="96"/>
      <c r="AH3" s="96"/>
      <c r="AI3" s="96"/>
      <c r="AJ3" s="97"/>
      <c r="AK3" s="26" t="s">
        <v>6</v>
      </c>
      <c r="AL3" s="133" t="s">
        <v>7</v>
      </c>
      <c r="AM3" s="134"/>
      <c r="AN3" s="134"/>
      <c r="AO3" s="134"/>
      <c r="AP3" s="134"/>
      <c r="AQ3" s="134"/>
      <c r="AR3" s="134"/>
      <c r="AS3" s="134"/>
      <c r="AT3" s="134"/>
      <c r="AU3" s="134"/>
      <c r="AV3" s="135"/>
      <c r="AW3" s="147" t="s">
        <v>8</v>
      </c>
      <c r="AX3" s="148"/>
      <c r="AY3" s="148"/>
      <c r="AZ3" s="148"/>
      <c r="BA3" s="148"/>
      <c r="BB3" s="148"/>
      <c r="BC3" s="148"/>
      <c r="BD3" s="149"/>
      <c r="BE3" s="136" t="s">
        <v>9</v>
      </c>
      <c r="BF3" s="137"/>
      <c r="BG3" s="137"/>
      <c r="BH3" s="137"/>
      <c r="BI3" s="137"/>
      <c r="BJ3" s="137"/>
      <c r="BK3" s="137"/>
      <c r="BL3" s="137"/>
      <c r="BM3" s="137"/>
      <c r="BN3" s="137"/>
      <c r="BO3" s="137"/>
      <c r="BP3" s="137"/>
      <c r="BQ3" s="137"/>
      <c r="BR3" s="137"/>
      <c r="BS3" s="139" t="s">
        <v>10</v>
      </c>
      <c r="BT3" s="140"/>
      <c r="BU3" s="140"/>
      <c r="BV3" s="140"/>
      <c r="BW3" s="140"/>
      <c r="BX3" s="140"/>
      <c r="BY3" s="140"/>
      <c r="BZ3" s="140"/>
      <c r="CA3" s="140"/>
      <c r="CB3" s="34"/>
      <c r="CC3" s="34"/>
      <c r="CD3" s="34"/>
      <c r="CE3" s="34"/>
      <c r="CF3" s="34"/>
      <c r="CG3" s="34"/>
      <c r="CH3"/>
      <c r="CI3"/>
      <c r="CJ3"/>
      <c r="CK3"/>
      <c r="CL3"/>
      <c r="CM3"/>
      <c r="CN3"/>
      <c r="CO3"/>
      <c r="CP3"/>
      <c r="CQ3"/>
      <c r="CR3"/>
      <c r="CS3"/>
      <c r="CT3"/>
    </row>
    <row r="4" spans="1:101" ht="16" thickBot="1" x14ac:dyDescent="0.25">
      <c r="A4" s="23"/>
      <c r="B4" s="24"/>
      <c r="C4" s="25"/>
      <c r="D4" s="23"/>
      <c r="E4" s="24"/>
      <c r="F4" s="24"/>
      <c r="G4" s="24"/>
      <c r="H4" s="25"/>
      <c r="I4" s="88" t="s">
        <v>11</v>
      </c>
      <c r="J4" s="89"/>
      <c r="K4" s="89"/>
      <c r="L4" s="110"/>
      <c r="M4" s="90"/>
      <c r="N4" s="136" t="s">
        <v>88</v>
      </c>
      <c r="O4" s="137"/>
      <c r="P4" s="138"/>
      <c r="Q4" s="136" t="s">
        <v>13</v>
      </c>
      <c r="R4" s="137"/>
      <c r="S4" s="138"/>
      <c r="T4" s="136" t="s">
        <v>14</v>
      </c>
      <c r="U4" s="137"/>
      <c r="V4" s="137"/>
      <c r="W4" s="137"/>
      <c r="X4" s="137"/>
      <c r="Y4" s="138"/>
      <c r="Z4" s="23"/>
      <c r="AA4" s="25"/>
      <c r="AB4" s="27"/>
      <c r="AC4" s="23"/>
      <c r="AD4" s="24"/>
      <c r="AE4" s="24"/>
      <c r="AF4" s="24"/>
      <c r="AG4" s="24"/>
      <c r="AH4" s="24"/>
      <c r="AI4" s="24"/>
      <c r="AJ4" s="25"/>
      <c r="AK4" s="27"/>
      <c r="AL4" s="23"/>
      <c r="AM4" s="99"/>
      <c r="AN4" s="24"/>
      <c r="AO4" s="24"/>
      <c r="AP4" s="24"/>
      <c r="AQ4" s="99"/>
      <c r="AR4" s="24"/>
      <c r="AS4" s="24"/>
      <c r="AT4" s="24"/>
      <c r="AU4" s="24"/>
      <c r="AV4" s="25"/>
      <c r="AW4" s="23"/>
      <c r="AX4" s="24"/>
      <c r="AY4" s="24"/>
      <c r="AZ4" s="24"/>
      <c r="BA4" s="62"/>
      <c r="BB4" s="24"/>
      <c r="BC4" s="24"/>
      <c r="BD4" s="25"/>
      <c r="BE4" s="136" t="s">
        <v>15</v>
      </c>
      <c r="BF4" s="137"/>
      <c r="BG4" s="137"/>
      <c r="BH4" s="137"/>
      <c r="BI4" s="137"/>
      <c r="BJ4" s="137"/>
      <c r="BK4" s="138"/>
      <c r="BL4" s="136" t="s">
        <v>16</v>
      </c>
      <c r="BM4" s="137"/>
      <c r="BN4" s="137"/>
      <c r="BO4" s="137"/>
      <c r="BP4" s="137"/>
      <c r="BQ4" s="137"/>
      <c r="BR4" s="138"/>
      <c r="BS4" s="99"/>
      <c r="BT4" s="99"/>
      <c r="BU4" s="99"/>
      <c r="BV4" s="99"/>
      <c r="BW4" s="99"/>
      <c r="BX4" s="99"/>
      <c r="BY4" s="99"/>
      <c r="BZ4" s="99"/>
      <c r="CA4" s="100"/>
      <c r="CB4" s="80"/>
      <c r="CC4" s="80"/>
      <c r="CD4" s="34"/>
      <c r="CE4" s="34"/>
      <c r="CF4" s="34"/>
      <c r="CG4" s="34"/>
      <c r="CH4" s="34"/>
      <c r="CI4" s="34"/>
      <c r="CJ4"/>
      <c r="CK4"/>
      <c r="CL4"/>
      <c r="CM4"/>
      <c r="CN4"/>
      <c r="CO4"/>
      <c r="CP4"/>
      <c r="CQ4"/>
      <c r="CR4"/>
      <c r="CS4"/>
      <c r="CT4"/>
    </row>
    <row r="5" spans="1:101" ht="6.75" customHeight="1" thickBot="1" x14ac:dyDescent="0.25">
      <c r="AR5" s="63"/>
      <c r="AS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U5" s="1"/>
      <c r="CV5" s="1"/>
      <c r="CW5" s="1"/>
    </row>
    <row r="6" spans="1:101" s="2" customFormat="1" ht="218" thickBot="1" x14ac:dyDescent="0.25">
      <c r="A6" s="6" t="s">
        <v>17</v>
      </c>
      <c r="B6" s="7" t="s">
        <v>18</v>
      </c>
      <c r="C6" s="8" t="s">
        <v>19</v>
      </c>
      <c r="D6" s="3" t="s">
        <v>20</v>
      </c>
      <c r="E6" s="4" t="s">
        <v>21</v>
      </c>
      <c r="F6" s="4" t="s">
        <v>22</v>
      </c>
      <c r="G6" s="4" t="s">
        <v>23</v>
      </c>
      <c r="H6" s="4" t="s">
        <v>24</v>
      </c>
      <c r="I6" s="9" t="s">
        <v>25</v>
      </c>
      <c r="J6" s="10" t="s">
        <v>126</v>
      </c>
      <c r="K6" s="10" t="s">
        <v>127</v>
      </c>
      <c r="L6" s="10" t="s">
        <v>128</v>
      </c>
      <c r="M6" s="11" t="s">
        <v>129</v>
      </c>
      <c r="N6" s="10" t="s">
        <v>26</v>
      </c>
      <c r="O6" s="10" t="s">
        <v>27</v>
      </c>
      <c r="P6" s="11" t="s">
        <v>28</v>
      </c>
      <c r="Q6" s="9" t="s">
        <v>29</v>
      </c>
      <c r="R6" s="10" t="s">
        <v>30</v>
      </c>
      <c r="S6" s="11" t="s">
        <v>31</v>
      </c>
      <c r="T6" s="9" t="s">
        <v>32</v>
      </c>
      <c r="U6" s="10" t="s">
        <v>33</v>
      </c>
      <c r="V6" s="10" t="s">
        <v>34</v>
      </c>
      <c r="W6" s="12" t="s">
        <v>35</v>
      </c>
      <c r="X6" s="12" t="s">
        <v>36</v>
      </c>
      <c r="Y6" s="13" t="s">
        <v>37</v>
      </c>
      <c r="Z6" s="9" t="s">
        <v>15</v>
      </c>
      <c r="AA6" s="11" t="s">
        <v>16</v>
      </c>
      <c r="AB6" s="10" t="s">
        <v>110</v>
      </c>
      <c r="AC6" s="9" t="s">
        <v>38</v>
      </c>
      <c r="AD6" s="10" t="s">
        <v>111</v>
      </c>
      <c r="AE6" s="10" t="s">
        <v>39</v>
      </c>
      <c r="AF6" s="10" t="s">
        <v>40</v>
      </c>
      <c r="AG6" s="94" t="s">
        <v>112</v>
      </c>
      <c r="AH6" s="94" t="s">
        <v>113</v>
      </c>
      <c r="AI6" s="94" t="s">
        <v>114</v>
      </c>
      <c r="AJ6" s="101" t="s">
        <v>115</v>
      </c>
      <c r="AK6" s="14" t="s">
        <v>41</v>
      </c>
      <c r="AL6" s="9" t="s">
        <v>42</v>
      </c>
      <c r="AM6" s="94" t="s">
        <v>122</v>
      </c>
      <c r="AN6" s="10" t="s">
        <v>43</v>
      </c>
      <c r="AO6" s="94" t="s">
        <v>123</v>
      </c>
      <c r="AP6" s="10" t="s">
        <v>45</v>
      </c>
      <c r="AQ6" s="94" t="s">
        <v>124</v>
      </c>
      <c r="AR6" s="10" t="s">
        <v>44</v>
      </c>
      <c r="AS6" s="94" t="s">
        <v>125</v>
      </c>
      <c r="AT6" s="10" t="s">
        <v>116</v>
      </c>
      <c r="AU6" s="10" t="s">
        <v>117</v>
      </c>
      <c r="AV6" s="126" t="s">
        <v>118</v>
      </c>
      <c r="AW6" s="9" t="s">
        <v>46</v>
      </c>
      <c r="AX6" s="10" t="s">
        <v>47</v>
      </c>
      <c r="AY6" s="10" t="s">
        <v>48</v>
      </c>
      <c r="AZ6" s="10" t="s">
        <v>49</v>
      </c>
      <c r="BA6" s="98" t="s">
        <v>50</v>
      </c>
      <c r="BB6" s="10" t="s">
        <v>51</v>
      </c>
      <c r="BC6" s="10" t="s">
        <v>52</v>
      </c>
      <c r="BD6" s="10" t="s">
        <v>108</v>
      </c>
      <c r="BE6" s="9" t="s">
        <v>53</v>
      </c>
      <c r="BF6" s="10" t="s">
        <v>54</v>
      </c>
      <c r="BG6" s="10" t="s">
        <v>55</v>
      </c>
      <c r="BH6" s="10" t="s">
        <v>56</v>
      </c>
      <c r="BI6" s="10" t="s">
        <v>57</v>
      </c>
      <c r="BJ6" s="10" t="s">
        <v>58</v>
      </c>
      <c r="BK6" s="11" t="s">
        <v>59</v>
      </c>
      <c r="BL6" s="9" t="s">
        <v>60</v>
      </c>
      <c r="BM6" s="10" t="s">
        <v>61</v>
      </c>
      <c r="BN6" s="10" t="s">
        <v>62</v>
      </c>
      <c r="BO6" s="10" t="s">
        <v>63</v>
      </c>
      <c r="BP6" s="10" t="s">
        <v>64</v>
      </c>
      <c r="BQ6" s="10" t="s">
        <v>65</v>
      </c>
      <c r="BR6" s="10" t="s">
        <v>66</v>
      </c>
      <c r="BS6" s="9" t="s">
        <v>70</v>
      </c>
      <c r="BT6" s="10" t="s">
        <v>67</v>
      </c>
      <c r="BU6" s="10" t="s">
        <v>68</v>
      </c>
      <c r="BV6" s="10" t="s">
        <v>69</v>
      </c>
      <c r="BW6" s="11" t="s">
        <v>71</v>
      </c>
    </row>
    <row r="7" spans="1:101" ht="96" x14ac:dyDescent="0.2">
      <c r="A7" s="168" t="s">
        <v>135</v>
      </c>
      <c r="B7" s="168" t="s">
        <v>241</v>
      </c>
      <c r="C7" t="s">
        <v>242</v>
      </c>
      <c r="D7" s="1" t="s">
        <v>73</v>
      </c>
      <c r="E7" s="1" t="s">
        <v>72</v>
      </c>
      <c r="F7" s="1" t="s">
        <v>72</v>
      </c>
      <c r="G7" s="1" t="s">
        <v>73</v>
      </c>
      <c r="H7" s="1" t="s">
        <v>72</v>
      </c>
      <c r="I7" s="169">
        <v>6</v>
      </c>
      <c r="J7">
        <v>3</v>
      </c>
      <c r="K7"/>
      <c r="M7"/>
      <c r="N7" s="169"/>
      <c r="O7" s="169"/>
      <c r="P7" s="169"/>
      <c r="Q7" s="1" t="s">
        <v>73</v>
      </c>
      <c r="R7" s="1" t="s">
        <v>73</v>
      </c>
      <c r="S7" s="1" t="s">
        <v>73</v>
      </c>
      <c r="T7">
        <v>1</v>
      </c>
      <c r="U7"/>
      <c r="V7"/>
      <c r="W7">
        <v>1</v>
      </c>
      <c r="X7"/>
      <c r="Y7"/>
      <c r="Z7" s="1" t="s">
        <v>73</v>
      </c>
      <c r="AA7" s="1" t="s">
        <v>73</v>
      </c>
      <c r="AB7"/>
      <c r="AC7"/>
      <c r="AD7"/>
      <c r="AE7"/>
      <c r="AF7"/>
      <c r="AG7"/>
      <c r="AH7"/>
      <c r="AI7"/>
      <c r="AJ7"/>
      <c r="AK7" s="1" t="s">
        <v>73</v>
      </c>
      <c r="AL7" s="1" t="s">
        <v>72</v>
      </c>
      <c r="AM7" s="171">
        <v>6</v>
      </c>
      <c r="AN7" s="1" t="s">
        <v>72</v>
      </c>
      <c r="AO7">
        <v>6</v>
      </c>
      <c r="AP7" s="1" t="s">
        <v>73</v>
      </c>
      <c r="AQ7" s="171"/>
      <c r="AR7" s="1" t="s">
        <v>72</v>
      </c>
      <c r="AS7">
        <v>6</v>
      </c>
      <c r="AT7" s="169" t="s">
        <v>72</v>
      </c>
      <c r="AU7" s="1">
        <v>4</v>
      </c>
      <c r="AW7" s="1">
        <v>46</v>
      </c>
      <c r="AX7" s="1">
        <v>18</v>
      </c>
      <c r="AY7" t="s">
        <v>73</v>
      </c>
      <c r="AZ7" t="s">
        <v>73</v>
      </c>
      <c r="BA7" s="61" t="s">
        <v>243</v>
      </c>
      <c r="BB7" s="168">
        <v>1885</v>
      </c>
      <c r="BC7" s="87">
        <v>45647.553773148145</v>
      </c>
      <c r="BD7" s="87">
        <v>45647.512106481481</v>
      </c>
      <c r="BE7" t="s">
        <v>73</v>
      </c>
      <c r="BF7" t="s">
        <v>73</v>
      </c>
      <c r="BG7" t="s">
        <v>73</v>
      </c>
      <c r="BH7" t="s">
        <v>73</v>
      </c>
      <c r="BI7" t="s">
        <v>73</v>
      </c>
      <c r="BJ7" t="s">
        <v>73</v>
      </c>
      <c r="BK7" s="168"/>
      <c r="BL7" t="s">
        <v>73</v>
      </c>
      <c r="BM7" t="s">
        <v>73</v>
      </c>
      <c r="BN7" t="s">
        <v>73</v>
      </c>
      <c r="BO7" t="s">
        <v>73</v>
      </c>
      <c r="BP7" t="s">
        <v>73</v>
      </c>
      <c r="BQ7" s="1" t="s">
        <v>73</v>
      </c>
      <c r="BS7" s="1" t="s">
        <v>73</v>
      </c>
      <c r="BT7" s="1" t="s">
        <v>73</v>
      </c>
      <c r="BU7" s="1" t="s">
        <v>73</v>
      </c>
      <c r="BV7" s="1" t="s">
        <v>73</v>
      </c>
      <c r="BX7" s="1"/>
      <c r="CF7"/>
      <c r="CG7"/>
      <c r="CH7"/>
      <c r="CI7"/>
      <c r="CJ7"/>
      <c r="CK7"/>
      <c r="CL7"/>
      <c r="CM7"/>
      <c r="CN7"/>
      <c r="CO7"/>
      <c r="CP7"/>
      <c r="CQ7"/>
      <c r="CR7"/>
      <c r="CS7"/>
      <c r="CT7"/>
    </row>
    <row r="8" spans="1:101" ht="16" x14ac:dyDescent="0.2">
      <c r="A8" s="168" t="s">
        <v>135</v>
      </c>
      <c r="B8" s="168" t="s">
        <v>244</v>
      </c>
      <c r="C8" t="s">
        <v>245</v>
      </c>
      <c r="D8" s="1" t="s">
        <v>73</v>
      </c>
      <c r="E8" s="1" t="s">
        <v>72</v>
      </c>
      <c r="F8" s="1" t="s">
        <v>72</v>
      </c>
      <c r="G8" s="1" t="s">
        <v>73</v>
      </c>
      <c r="I8" s="169">
        <v>7</v>
      </c>
      <c r="J8"/>
      <c r="K8"/>
      <c r="M8"/>
      <c r="N8" s="169"/>
      <c r="O8" s="169"/>
      <c r="P8" s="169"/>
      <c r="Q8" s="1" t="s">
        <v>73</v>
      </c>
      <c r="R8" s="1" t="s">
        <v>73</v>
      </c>
      <c r="S8" s="1" t="s">
        <v>73</v>
      </c>
      <c r="T8">
        <v>2</v>
      </c>
      <c r="U8"/>
      <c r="V8"/>
      <c r="W8">
        <v>2</v>
      </c>
      <c r="X8"/>
      <c r="Y8"/>
      <c r="Z8" s="1" t="s">
        <v>72</v>
      </c>
      <c r="AA8" s="1" t="s">
        <v>73</v>
      </c>
      <c r="AB8"/>
      <c r="AC8">
        <v>2</v>
      </c>
      <c r="AD8"/>
      <c r="AE8"/>
      <c r="AF8"/>
      <c r="AG8">
        <v>2</v>
      </c>
      <c r="AH8"/>
      <c r="AI8"/>
      <c r="AJ8"/>
      <c r="AK8" s="1" t="s">
        <v>73</v>
      </c>
      <c r="AL8" s="1" t="s">
        <v>72</v>
      </c>
      <c r="AM8" s="171">
        <v>6</v>
      </c>
      <c r="AN8" s="1" t="s">
        <v>72</v>
      </c>
      <c r="AO8">
        <v>6</v>
      </c>
      <c r="AP8" s="1" t="s">
        <v>73</v>
      </c>
      <c r="AQ8" s="171"/>
      <c r="AR8" s="1" t="s">
        <v>72</v>
      </c>
      <c r="AS8">
        <v>6</v>
      </c>
      <c r="AT8" s="169" t="s">
        <v>72</v>
      </c>
      <c r="AU8" s="1">
        <v>1</v>
      </c>
      <c r="AW8" s="1">
        <v>75</v>
      </c>
      <c r="AX8" s="1">
        <v>5</v>
      </c>
      <c r="AY8" t="s">
        <v>73</v>
      </c>
      <c r="AZ8" t="s">
        <v>73</v>
      </c>
      <c r="BA8" s="61" t="s">
        <v>73</v>
      </c>
      <c r="BB8" s="168">
        <v>1880</v>
      </c>
      <c r="BC8" s="87">
        <v>45647.421400462961</v>
      </c>
      <c r="BD8" s="87">
        <v>45647.441203703704</v>
      </c>
      <c r="BE8" t="s">
        <v>245</v>
      </c>
      <c r="BF8" t="s">
        <v>78</v>
      </c>
      <c r="BG8" t="s">
        <v>215</v>
      </c>
      <c r="BH8" t="s">
        <v>162</v>
      </c>
      <c r="BI8" t="s">
        <v>246</v>
      </c>
      <c r="BJ8" t="s">
        <v>246</v>
      </c>
      <c r="BK8" s="168">
        <v>35</v>
      </c>
      <c r="BL8" t="s">
        <v>73</v>
      </c>
      <c r="BM8" t="s">
        <v>73</v>
      </c>
      <c r="BN8" t="s">
        <v>73</v>
      </c>
      <c r="BO8" t="s">
        <v>73</v>
      </c>
      <c r="BP8" t="s">
        <v>73</v>
      </c>
      <c r="BQ8" s="1" t="s">
        <v>73</v>
      </c>
      <c r="BS8" s="1" t="s">
        <v>73</v>
      </c>
      <c r="BT8" s="1" t="s">
        <v>73</v>
      </c>
      <c r="BU8" s="1" t="s">
        <v>73</v>
      </c>
      <c r="BV8" s="1" t="s">
        <v>73</v>
      </c>
      <c r="CF8"/>
      <c r="CG8"/>
      <c r="CH8"/>
      <c r="CI8"/>
      <c r="CJ8"/>
      <c r="CK8"/>
      <c r="CL8"/>
      <c r="CM8"/>
      <c r="CN8"/>
      <c r="CO8"/>
      <c r="CP8"/>
      <c r="CQ8"/>
      <c r="CR8"/>
      <c r="CS8"/>
      <c r="CT8"/>
    </row>
    <row r="9" spans="1:101" ht="16" x14ac:dyDescent="0.2">
      <c r="A9" s="168" t="s">
        <v>135</v>
      </c>
      <c r="B9" s="168" t="s">
        <v>237</v>
      </c>
      <c r="C9" t="s">
        <v>238</v>
      </c>
      <c r="D9" s="1" t="s">
        <v>73</v>
      </c>
      <c r="E9" s="1" t="s">
        <v>72</v>
      </c>
      <c r="F9" s="1" t="s">
        <v>72</v>
      </c>
      <c r="G9" s="1" t="s">
        <v>73</v>
      </c>
      <c r="I9" s="169">
        <v>4</v>
      </c>
      <c r="J9"/>
      <c r="K9"/>
      <c r="M9"/>
      <c r="N9" s="169"/>
      <c r="O9" s="169"/>
      <c r="P9" s="169"/>
      <c r="Q9" s="1" t="s">
        <v>73</v>
      </c>
      <c r="R9" s="1" t="s">
        <v>73</v>
      </c>
      <c r="S9" s="1" t="s">
        <v>73</v>
      </c>
      <c r="T9"/>
      <c r="U9"/>
      <c r="V9"/>
      <c r="W9"/>
      <c r="X9"/>
      <c r="Y9"/>
      <c r="Z9" s="1" t="s">
        <v>73</v>
      </c>
      <c r="AA9" s="1" t="s">
        <v>73</v>
      </c>
      <c r="AB9"/>
      <c r="AC9"/>
      <c r="AD9">
        <v>1</v>
      </c>
      <c r="AE9"/>
      <c r="AF9"/>
      <c r="AG9"/>
      <c r="AH9">
        <v>1</v>
      </c>
      <c r="AI9"/>
      <c r="AJ9"/>
      <c r="AK9" s="1" t="s">
        <v>73</v>
      </c>
      <c r="AL9" s="1" t="s">
        <v>72</v>
      </c>
      <c r="AM9" s="171">
        <v>6</v>
      </c>
      <c r="AN9" s="1" t="s">
        <v>72</v>
      </c>
      <c r="AO9">
        <v>6</v>
      </c>
      <c r="AP9" s="1" t="s">
        <v>72</v>
      </c>
      <c r="AQ9" s="171">
        <v>6</v>
      </c>
      <c r="AR9" s="1" t="s">
        <v>72</v>
      </c>
      <c r="AS9">
        <v>6</v>
      </c>
      <c r="AT9" s="169" t="s">
        <v>73</v>
      </c>
      <c r="AW9" s="1">
        <v>6</v>
      </c>
      <c r="AX9" s="1">
        <v>0</v>
      </c>
      <c r="AY9" t="s">
        <v>73</v>
      </c>
      <c r="AZ9" t="s">
        <v>73</v>
      </c>
      <c r="BA9" s="61" t="s">
        <v>73</v>
      </c>
      <c r="BB9" s="168">
        <v>1869</v>
      </c>
      <c r="BC9" s="87">
        <v>45645.398530092592</v>
      </c>
      <c r="BD9" s="87">
        <v>45645.356863425928</v>
      </c>
      <c r="BE9" t="s">
        <v>73</v>
      </c>
      <c r="BF9" t="s">
        <v>73</v>
      </c>
      <c r="BG9" t="s">
        <v>73</v>
      </c>
      <c r="BH9" t="s">
        <v>73</v>
      </c>
      <c r="BI9" t="s">
        <v>73</v>
      </c>
      <c r="BJ9" t="s">
        <v>73</v>
      </c>
      <c r="BK9" s="168"/>
      <c r="BL9" t="s">
        <v>73</v>
      </c>
      <c r="BM9" t="s">
        <v>73</v>
      </c>
      <c r="BN9" t="s">
        <v>73</v>
      </c>
      <c r="BO9" t="s">
        <v>73</v>
      </c>
      <c r="BP9" t="s">
        <v>73</v>
      </c>
      <c r="BQ9" s="1" t="s">
        <v>73</v>
      </c>
      <c r="BS9" s="1" t="s">
        <v>73</v>
      </c>
      <c r="BT9" s="1" t="s">
        <v>73</v>
      </c>
      <c r="BU9" s="1" t="s">
        <v>73</v>
      </c>
      <c r="BV9" s="1" t="s">
        <v>73</v>
      </c>
      <c r="CB9" s="1"/>
      <c r="CC9" s="1"/>
      <c r="CF9"/>
      <c r="CG9"/>
      <c r="CH9"/>
      <c r="CI9"/>
      <c r="CJ9"/>
      <c r="CK9"/>
      <c r="CL9"/>
      <c r="CM9"/>
      <c r="CN9"/>
      <c r="CO9"/>
      <c r="CP9"/>
      <c r="CQ9"/>
      <c r="CR9"/>
      <c r="CS9"/>
      <c r="CT9"/>
    </row>
    <row r="10" spans="1:101" ht="16" x14ac:dyDescent="0.2">
      <c r="A10" s="168" t="s">
        <v>135</v>
      </c>
      <c r="B10" s="168" t="s">
        <v>228</v>
      </c>
      <c r="C10" t="s">
        <v>229</v>
      </c>
      <c r="D10" s="1" t="s">
        <v>73</v>
      </c>
      <c r="E10" s="1" t="s">
        <v>72</v>
      </c>
      <c r="F10" s="1" t="s">
        <v>72</v>
      </c>
      <c r="G10" s="1" t="s">
        <v>73</v>
      </c>
      <c r="I10" s="169">
        <v>6</v>
      </c>
      <c r="J10"/>
      <c r="K10"/>
      <c r="M10"/>
      <c r="N10" s="169"/>
      <c r="O10" s="169"/>
      <c r="P10" s="169"/>
      <c r="Q10" s="1" t="s">
        <v>73</v>
      </c>
      <c r="R10" s="1" t="s">
        <v>73</v>
      </c>
      <c r="S10" s="1" t="s">
        <v>73</v>
      </c>
      <c r="T10"/>
      <c r="U10"/>
      <c r="V10"/>
      <c r="W10"/>
      <c r="X10"/>
      <c r="Y10"/>
      <c r="Z10" s="1" t="s">
        <v>73</v>
      </c>
      <c r="AA10" s="1" t="s">
        <v>73</v>
      </c>
      <c r="AB10"/>
      <c r="AC10">
        <v>5</v>
      </c>
      <c r="AD10"/>
      <c r="AE10"/>
      <c r="AF10"/>
      <c r="AG10">
        <v>5</v>
      </c>
      <c r="AH10"/>
      <c r="AI10"/>
      <c r="AJ10"/>
      <c r="AK10" s="1" t="s">
        <v>73</v>
      </c>
      <c r="AL10" s="1" t="s">
        <v>72</v>
      </c>
      <c r="AM10" s="171">
        <v>4</v>
      </c>
      <c r="AN10" s="1" t="s">
        <v>72</v>
      </c>
      <c r="AO10">
        <v>4</v>
      </c>
      <c r="AP10" s="1" t="s">
        <v>73</v>
      </c>
      <c r="AQ10" s="171"/>
      <c r="AR10" s="1" t="s">
        <v>73</v>
      </c>
      <c r="AT10" s="169" t="s">
        <v>73</v>
      </c>
      <c r="AW10" s="1">
        <v>50</v>
      </c>
      <c r="AX10" s="1">
        <v>15</v>
      </c>
      <c r="AY10" t="s">
        <v>73</v>
      </c>
      <c r="AZ10" t="s">
        <v>73</v>
      </c>
      <c r="BA10" s="61" t="s">
        <v>73</v>
      </c>
      <c r="BB10" s="168">
        <v>1867</v>
      </c>
      <c r="BC10" s="87">
        <v>45644.860902777778</v>
      </c>
      <c r="BD10" s="87">
        <v>45644.819236111114</v>
      </c>
      <c r="BE10" t="s">
        <v>73</v>
      </c>
      <c r="BF10" t="s">
        <v>73</v>
      </c>
      <c r="BG10" t="s">
        <v>73</v>
      </c>
      <c r="BH10" t="s">
        <v>73</v>
      </c>
      <c r="BI10" t="s">
        <v>73</v>
      </c>
      <c r="BJ10" t="s">
        <v>73</v>
      </c>
      <c r="BK10" s="168"/>
      <c r="BL10" t="s">
        <v>73</v>
      </c>
      <c r="BM10" t="s">
        <v>73</v>
      </c>
      <c r="BN10" t="s">
        <v>73</v>
      </c>
      <c r="BO10" t="s">
        <v>73</v>
      </c>
      <c r="BP10" t="s">
        <v>73</v>
      </c>
      <c r="BQ10" s="1" t="s">
        <v>73</v>
      </c>
      <c r="BS10" s="1" t="s">
        <v>73</v>
      </c>
      <c r="BT10" s="1" t="s">
        <v>73</v>
      </c>
      <c r="BU10" s="1" t="s">
        <v>73</v>
      </c>
      <c r="BV10" s="1" t="s">
        <v>73</v>
      </c>
      <c r="CB10" s="1"/>
      <c r="CC10" s="1"/>
      <c r="CF10"/>
      <c r="CG10"/>
      <c r="CH10"/>
      <c r="CI10"/>
      <c r="CJ10"/>
      <c r="CK10"/>
      <c r="CL10"/>
      <c r="CM10"/>
      <c r="CN10"/>
      <c r="CO10"/>
      <c r="CP10"/>
      <c r="CQ10"/>
      <c r="CR10"/>
      <c r="CS10"/>
      <c r="CT10"/>
    </row>
    <row r="11" spans="1:101" ht="16" x14ac:dyDescent="0.2">
      <c r="A11" s="168" t="s">
        <v>135</v>
      </c>
      <c r="B11" s="168" t="s">
        <v>226</v>
      </c>
      <c r="C11" t="s">
        <v>227</v>
      </c>
      <c r="D11" s="1" t="s">
        <v>73</v>
      </c>
      <c r="E11" s="1" t="s">
        <v>72</v>
      </c>
      <c r="F11" s="1" t="s">
        <v>72</v>
      </c>
      <c r="G11" s="1" t="s">
        <v>73</v>
      </c>
      <c r="I11" s="169">
        <v>5</v>
      </c>
      <c r="J11"/>
      <c r="K11"/>
      <c r="M11"/>
      <c r="N11" s="169"/>
      <c r="O11" s="169"/>
      <c r="P11" s="169"/>
      <c r="Q11" s="1" t="s">
        <v>73</v>
      </c>
      <c r="R11" s="1" t="s">
        <v>73</v>
      </c>
      <c r="S11" s="1" t="s">
        <v>73</v>
      </c>
      <c r="T11"/>
      <c r="U11"/>
      <c r="V11"/>
      <c r="W11"/>
      <c r="X11"/>
      <c r="Y11"/>
      <c r="Z11" s="1" t="s">
        <v>73</v>
      </c>
      <c r="AA11" s="1" t="s">
        <v>73</v>
      </c>
      <c r="AB11"/>
      <c r="AC11"/>
      <c r="AD11"/>
      <c r="AE11"/>
      <c r="AF11"/>
      <c r="AG11"/>
      <c r="AH11"/>
      <c r="AI11"/>
      <c r="AJ11"/>
      <c r="AK11" s="1" t="s">
        <v>72</v>
      </c>
      <c r="AL11" s="1" t="s">
        <v>72</v>
      </c>
      <c r="AM11" s="171">
        <v>5</v>
      </c>
      <c r="AN11" s="1" t="s">
        <v>72</v>
      </c>
      <c r="AO11">
        <v>5</v>
      </c>
      <c r="AP11" s="1" t="s">
        <v>73</v>
      </c>
      <c r="AQ11" s="171"/>
      <c r="AR11" s="1" t="s">
        <v>72</v>
      </c>
      <c r="AS11">
        <v>5</v>
      </c>
      <c r="AT11" s="169" t="s">
        <v>73</v>
      </c>
      <c r="AW11" s="1">
        <v>40</v>
      </c>
      <c r="AX11" s="1">
        <v>1</v>
      </c>
      <c r="AY11" t="s">
        <v>73</v>
      </c>
      <c r="AZ11" t="s">
        <v>73</v>
      </c>
      <c r="BA11" s="61" t="s">
        <v>73</v>
      </c>
      <c r="BB11" s="168">
        <v>1864</v>
      </c>
      <c r="BC11" s="87">
        <v>45644.82234953704</v>
      </c>
      <c r="BD11" s="87">
        <v>45644.780682870369</v>
      </c>
      <c r="BE11" t="s">
        <v>73</v>
      </c>
      <c r="BF11" t="s">
        <v>73</v>
      </c>
      <c r="BG11" t="s">
        <v>73</v>
      </c>
      <c r="BH11" t="s">
        <v>73</v>
      </c>
      <c r="BI11" t="s">
        <v>73</v>
      </c>
      <c r="BJ11" t="s">
        <v>73</v>
      </c>
      <c r="BK11" s="168"/>
      <c r="BL11" t="s">
        <v>73</v>
      </c>
      <c r="BM11" t="s">
        <v>73</v>
      </c>
      <c r="BN11" t="s">
        <v>73</v>
      </c>
      <c r="BO11" t="s">
        <v>73</v>
      </c>
      <c r="BP11" t="s">
        <v>73</v>
      </c>
      <c r="BQ11" s="1" t="s">
        <v>73</v>
      </c>
      <c r="BS11" s="1" t="s">
        <v>73</v>
      </c>
      <c r="BT11" s="1" t="s">
        <v>73</v>
      </c>
      <c r="BU11" s="1" t="s">
        <v>73</v>
      </c>
      <c r="BV11" s="1" t="s">
        <v>73</v>
      </c>
      <c r="CF11"/>
      <c r="CG11"/>
      <c r="CH11"/>
      <c r="CI11"/>
      <c r="CJ11"/>
      <c r="CK11"/>
      <c r="CL11"/>
      <c r="CM11"/>
      <c r="CN11"/>
      <c r="CO11"/>
      <c r="CP11"/>
      <c r="CQ11"/>
      <c r="CR11"/>
      <c r="CS11"/>
      <c r="CT11"/>
    </row>
    <row r="12" spans="1:101" ht="16" x14ac:dyDescent="0.2">
      <c r="A12" s="168" t="s">
        <v>135</v>
      </c>
      <c r="B12" s="168" t="s">
        <v>205</v>
      </c>
      <c r="C12" t="s">
        <v>206</v>
      </c>
      <c r="D12" s="1" t="s">
        <v>73</v>
      </c>
      <c r="E12" s="1" t="s">
        <v>72</v>
      </c>
      <c r="F12" s="1" t="s">
        <v>73</v>
      </c>
      <c r="G12" s="1" t="s">
        <v>73</v>
      </c>
      <c r="I12" s="169">
        <v>6</v>
      </c>
      <c r="J12">
        <v>6</v>
      </c>
      <c r="K12"/>
      <c r="L12" s="1">
        <v>4</v>
      </c>
      <c r="M12"/>
      <c r="N12" s="169"/>
      <c r="O12" s="169"/>
      <c r="P12" s="169"/>
      <c r="Q12" s="1" t="s">
        <v>73</v>
      </c>
      <c r="R12" s="1" t="s">
        <v>73</v>
      </c>
      <c r="S12" s="1" t="s">
        <v>73</v>
      </c>
      <c r="T12"/>
      <c r="U12"/>
      <c r="V12"/>
      <c r="W12"/>
      <c r="X12"/>
      <c r="Y12"/>
      <c r="Z12" s="1" t="s">
        <v>73</v>
      </c>
      <c r="AA12" s="1" t="s">
        <v>73</v>
      </c>
      <c r="AB12"/>
      <c r="AC12"/>
      <c r="AD12"/>
      <c r="AE12"/>
      <c r="AF12"/>
      <c r="AG12"/>
      <c r="AH12"/>
      <c r="AI12"/>
      <c r="AJ12"/>
      <c r="AK12" s="1" t="s">
        <v>73</v>
      </c>
      <c r="AL12" s="1" t="s">
        <v>72</v>
      </c>
      <c r="AM12" s="171">
        <v>6</v>
      </c>
      <c r="AN12" s="1" t="s">
        <v>72</v>
      </c>
      <c r="AO12">
        <v>6</v>
      </c>
      <c r="AP12" s="1" t="s">
        <v>73</v>
      </c>
      <c r="AQ12" s="171"/>
      <c r="AR12" s="1" t="s">
        <v>72</v>
      </c>
      <c r="AS12">
        <v>6</v>
      </c>
      <c r="AT12" s="169" t="s">
        <v>72</v>
      </c>
      <c r="AU12" s="1">
        <v>2</v>
      </c>
      <c r="AW12" s="1">
        <v>100</v>
      </c>
      <c r="AX12" s="1">
        <v>8</v>
      </c>
      <c r="AY12" t="s">
        <v>72</v>
      </c>
      <c r="AZ12" t="s">
        <v>73</v>
      </c>
      <c r="BA12" s="61" t="s">
        <v>73</v>
      </c>
      <c r="BB12" s="168">
        <v>1859</v>
      </c>
      <c r="BC12" s="87">
        <v>45644.468113425923</v>
      </c>
      <c r="BD12" s="87">
        <v>45644.426446759258</v>
      </c>
      <c r="BE12" t="s">
        <v>73</v>
      </c>
      <c r="BF12" t="s">
        <v>73</v>
      </c>
      <c r="BG12" t="s">
        <v>73</v>
      </c>
      <c r="BH12" t="s">
        <v>73</v>
      </c>
      <c r="BI12" t="s">
        <v>73</v>
      </c>
      <c r="BJ12" t="s">
        <v>73</v>
      </c>
      <c r="BK12" s="168"/>
      <c r="BL12" t="s">
        <v>73</v>
      </c>
      <c r="BM12" t="s">
        <v>73</v>
      </c>
      <c r="BN12" t="s">
        <v>73</v>
      </c>
      <c r="BO12" t="s">
        <v>73</v>
      </c>
      <c r="BP12" t="s">
        <v>73</v>
      </c>
      <c r="BQ12" s="1" t="s">
        <v>73</v>
      </c>
      <c r="BS12" s="1" t="s">
        <v>73</v>
      </c>
      <c r="BT12" s="1" t="s">
        <v>73</v>
      </c>
      <c r="BU12" s="1" t="s">
        <v>73</v>
      </c>
      <c r="BV12" s="1" t="s">
        <v>73</v>
      </c>
      <c r="CB12" s="1"/>
      <c r="CC12" s="1"/>
      <c r="CF12"/>
      <c r="CG12"/>
      <c r="CH12"/>
      <c r="CI12"/>
      <c r="CJ12"/>
      <c r="CK12"/>
      <c r="CL12"/>
      <c r="CM12"/>
      <c r="CN12"/>
      <c r="CO12"/>
      <c r="CP12"/>
      <c r="CQ12"/>
      <c r="CR12"/>
      <c r="CS12"/>
      <c r="CT12"/>
    </row>
    <row r="13" spans="1:101" ht="16" x14ac:dyDescent="0.2">
      <c r="A13" s="168" t="s">
        <v>135</v>
      </c>
      <c r="B13" s="168" t="s">
        <v>212</v>
      </c>
      <c r="C13" t="s">
        <v>213</v>
      </c>
      <c r="D13" s="1" t="s">
        <v>73</v>
      </c>
      <c r="E13" s="1" t="s">
        <v>72</v>
      </c>
      <c r="F13" s="1" t="s">
        <v>72</v>
      </c>
      <c r="G13" s="1" t="s">
        <v>73</v>
      </c>
      <c r="I13" s="169">
        <v>6</v>
      </c>
      <c r="J13"/>
      <c r="K13"/>
      <c r="M13"/>
      <c r="N13" s="169"/>
      <c r="O13" s="169"/>
      <c r="P13" s="169"/>
      <c r="Q13" s="1" t="s">
        <v>73</v>
      </c>
      <c r="R13" s="1" t="s">
        <v>73</v>
      </c>
      <c r="S13" s="1" t="s">
        <v>73</v>
      </c>
      <c r="T13"/>
      <c r="U13"/>
      <c r="V13"/>
      <c r="W13"/>
      <c r="X13"/>
      <c r="Y13"/>
      <c r="Z13" s="1" t="s">
        <v>73</v>
      </c>
      <c r="AA13" s="1" t="s">
        <v>73</v>
      </c>
      <c r="AB13"/>
      <c r="AC13"/>
      <c r="AD13"/>
      <c r="AE13"/>
      <c r="AF13"/>
      <c r="AG13"/>
      <c r="AH13"/>
      <c r="AI13"/>
      <c r="AJ13"/>
      <c r="AK13" s="1" t="s">
        <v>73</v>
      </c>
      <c r="AL13" s="1" t="s">
        <v>72</v>
      </c>
      <c r="AM13" s="171">
        <v>6</v>
      </c>
      <c r="AN13" s="1" t="s">
        <v>72</v>
      </c>
      <c r="AO13">
        <v>6</v>
      </c>
      <c r="AP13" s="1" t="s">
        <v>73</v>
      </c>
      <c r="AQ13" s="171"/>
      <c r="AR13" s="1" t="s">
        <v>72</v>
      </c>
      <c r="AS13">
        <v>6</v>
      </c>
      <c r="AT13" s="169" t="s">
        <v>73</v>
      </c>
      <c r="AW13" s="1">
        <v>40</v>
      </c>
      <c r="AX13" s="1">
        <v>2</v>
      </c>
      <c r="AY13" t="s">
        <v>72</v>
      </c>
      <c r="AZ13" t="s">
        <v>73</v>
      </c>
      <c r="BA13" s="61" t="s">
        <v>73</v>
      </c>
      <c r="BB13" s="168">
        <v>1857</v>
      </c>
      <c r="BC13" s="87">
        <v>45643.901631944442</v>
      </c>
      <c r="BD13" s="87">
        <v>45643.859965277778</v>
      </c>
      <c r="BE13" t="s">
        <v>73</v>
      </c>
      <c r="BF13" t="s">
        <v>73</v>
      </c>
      <c r="BG13" t="s">
        <v>73</v>
      </c>
      <c r="BH13" t="s">
        <v>73</v>
      </c>
      <c r="BI13" t="s">
        <v>73</v>
      </c>
      <c r="BJ13" t="s">
        <v>73</v>
      </c>
      <c r="BK13" s="168"/>
      <c r="BL13" t="s">
        <v>73</v>
      </c>
      <c r="BM13" t="s">
        <v>73</v>
      </c>
      <c r="BN13" t="s">
        <v>73</v>
      </c>
      <c r="BO13" t="s">
        <v>73</v>
      </c>
      <c r="BP13" t="s">
        <v>73</v>
      </c>
      <c r="BQ13" s="1" t="s">
        <v>73</v>
      </c>
      <c r="BS13" s="1" t="s">
        <v>73</v>
      </c>
      <c r="BT13" s="1" t="s">
        <v>73</v>
      </c>
      <c r="BU13" s="1" t="s">
        <v>73</v>
      </c>
      <c r="BV13" s="1" t="s">
        <v>73</v>
      </c>
      <c r="CB13" s="1"/>
      <c r="CC13" s="1"/>
      <c r="CF13"/>
      <c r="CG13"/>
      <c r="CH13"/>
      <c r="CI13"/>
      <c r="CJ13"/>
      <c r="CK13"/>
      <c r="CL13"/>
      <c r="CM13"/>
      <c r="CN13"/>
      <c r="CO13"/>
      <c r="CP13"/>
      <c r="CQ13"/>
      <c r="CR13"/>
      <c r="CS13"/>
      <c r="CT13"/>
    </row>
    <row r="14" spans="1:101" ht="32" x14ac:dyDescent="0.2">
      <c r="A14" s="168" t="s">
        <v>135</v>
      </c>
      <c r="B14" s="168" t="s">
        <v>207</v>
      </c>
      <c r="C14" t="s">
        <v>236</v>
      </c>
      <c r="D14" s="1" t="s">
        <v>73</v>
      </c>
      <c r="E14" s="1" t="s">
        <v>72</v>
      </c>
      <c r="F14" s="1" t="s">
        <v>72</v>
      </c>
      <c r="G14" s="1" t="s">
        <v>73</v>
      </c>
      <c r="I14" s="169"/>
      <c r="J14"/>
      <c r="K14"/>
      <c r="M14"/>
      <c r="N14" s="169"/>
      <c r="O14" s="169"/>
      <c r="P14" s="169"/>
      <c r="Q14" s="1" t="s">
        <v>73</v>
      </c>
      <c r="R14" s="1" t="s">
        <v>73</v>
      </c>
      <c r="S14" s="1" t="s">
        <v>73</v>
      </c>
      <c r="T14"/>
      <c r="U14"/>
      <c r="V14"/>
      <c r="W14"/>
      <c r="X14"/>
      <c r="Y14"/>
      <c r="Z14" s="1" t="s">
        <v>73</v>
      </c>
      <c r="AA14" s="1" t="s">
        <v>73</v>
      </c>
      <c r="AB14"/>
      <c r="AC14"/>
      <c r="AD14"/>
      <c r="AE14"/>
      <c r="AF14"/>
      <c r="AG14"/>
      <c r="AH14"/>
      <c r="AI14"/>
      <c r="AJ14"/>
      <c r="AK14" s="1" t="s">
        <v>73</v>
      </c>
      <c r="AL14" s="1" t="s">
        <v>73</v>
      </c>
      <c r="AM14" s="171"/>
      <c r="AN14" s="1" t="s">
        <v>73</v>
      </c>
      <c r="AO14"/>
      <c r="AP14" s="1" t="s">
        <v>73</v>
      </c>
      <c r="AQ14" s="171"/>
      <c r="AR14" s="1" t="s">
        <v>73</v>
      </c>
      <c r="AT14" s="169" t="s">
        <v>73</v>
      </c>
      <c r="AW14" s="1">
        <v>76</v>
      </c>
      <c r="AX14" s="1">
        <v>21</v>
      </c>
      <c r="AY14" t="s">
        <v>73</v>
      </c>
      <c r="AZ14" t="s">
        <v>73</v>
      </c>
      <c r="BA14" s="61" t="s">
        <v>214</v>
      </c>
      <c r="BB14" s="168">
        <v>1855</v>
      </c>
      <c r="BC14" s="87">
        <v>45643.499814814815</v>
      </c>
      <c r="BD14" s="87">
        <v>45646.44494212963</v>
      </c>
      <c r="BE14" t="s">
        <v>73</v>
      </c>
      <c r="BF14" t="s">
        <v>73</v>
      </c>
      <c r="BG14" t="s">
        <v>73</v>
      </c>
      <c r="BH14" t="s">
        <v>73</v>
      </c>
      <c r="BI14" t="s">
        <v>73</v>
      </c>
      <c r="BJ14" t="s">
        <v>73</v>
      </c>
      <c r="BK14" s="168"/>
      <c r="BL14" t="s">
        <v>73</v>
      </c>
      <c r="BM14" t="s">
        <v>73</v>
      </c>
      <c r="BN14" t="s">
        <v>73</v>
      </c>
      <c r="BO14" t="s">
        <v>73</v>
      </c>
      <c r="BP14" t="s">
        <v>73</v>
      </c>
      <c r="BQ14" s="1" t="s">
        <v>73</v>
      </c>
      <c r="BS14" s="1" t="s">
        <v>73</v>
      </c>
      <c r="BT14" s="1" t="s">
        <v>73</v>
      </c>
      <c r="BU14" s="1" t="s">
        <v>73</v>
      </c>
      <c r="BV14" s="1" t="s">
        <v>73</v>
      </c>
      <c r="CB14" s="1"/>
      <c r="CC14" s="1"/>
      <c r="CF14"/>
      <c r="CG14"/>
      <c r="CH14"/>
      <c r="CI14"/>
      <c r="CJ14"/>
      <c r="CK14"/>
      <c r="CL14"/>
      <c r="CM14"/>
      <c r="CN14"/>
      <c r="CO14"/>
      <c r="CP14"/>
      <c r="CQ14"/>
      <c r="CR14"/>
      <c r="CS14"/>
      <c r="CT14"/>
    </row>
    <row r="15" spans="1:101" ht="96" x14ac:dyDescent="0.2">
      <c r="A15" s="168" t="s">
        <v>135</v>
      </c>
      <c r="B15" s="168" t="s">
        <v>175</v>
      </c>
      <c r="C15" t="s">
        <v>155</v>
      </c>
      <c r="D15" s="1" t="s">
        <v>73</v>
      </c>
      <c r="E15" s="1" t="s">
        <v>72</v>
      </c>
      <c r="F15" s="1" t="s">
        <v>73</v>
      </c>
      <c r="G15" s="1" t="s">
        <v>73</v>
      </c>
      <c r="I15" s="169">
        <v>8</v>
      </c>
      <c r="J15"/>
      <c r="K15"/>
      <c r="M15"/>
      <c r="N15" s="169"/>
      <c r="O15" s="169"/>
      <c r="P15" s="169"/>
      <c r="Q15" s="1" t="s">
        <v>73</v>
      </c>
      <c r="R15" s="1" t="s">
        <v>73</v>
      </c>
      <c r="S15" s="1" t="s">
        <v>73</v>
      </c>
      <c r="T15"/>
      <c r="U15"/>
      <c r="V15"/>
      <c r="W15"/>
      <c r="X15"/>
      <c r="Y15"/>
      <c r="Z15" s="1" t="s">
        <v>73</v>
      </c>
      <c r="AA15" s="1" t="s">
        <v>73</v>
      </c>
      <c r="AB15"/>
      <c r="AC15"/>
      <c r="AD15"/>
      <c r="AE15"/>
      <c r="AF15"/>
      <c r="AG15"/>
      <c r="AH15"/>
      <c r="AI15"/>
      <c r="AJ15"/>
      <c r="AK15" s="1" t="s">
        <v>73</v>
      </c>
      <c r="AL15" s="1" t="s">
        <v>73</v>
      </c>
      <c r="AM15" s="171"/>
      <c r="AN15" s="1" t="s">
        <v>73</v>
      </c>
      <c r="AO15"/>
      <c r="AP15" s="1" t="s">
        <v>73</v>
      </c>
      <c r="AQ15" s="171"/>
      <c r="AR15" s="1" t="s">
        <v>73</v>
      </c>
      <c r="AT15" s="169" t="s">
        <v>73</v>
      </c>
      <c r="AW15" s="1">
        <v>12</v>
      </c>
      <c r="AX15" s="1">
        <v>0</v>
      </c>
      <c r="AY15" t="s">
        <v>73</v>
      </c>
      <c r="AZ15" t="s">
        <v>73</v>
      </c>
      <c r="BA15" s="61" t="s">
        <v>156</v>
      </c>
      <c r="BB15" s="168">
        <v>1821</v>
      </c>
      <c r="BC15" s="87">
        <v>45635.785624999997</v>
      </c>
      <c r="BD15" s="87">
        <v>45635.750081018516</v>
      </c>
      <c r="BE15" t="s">
        <v>73</v>
      </c>
      <c r="BF15" t="s">
        <v>73</v>
      </c>
      <c r="BG15" t="s">
        <v>73</v>
      </c>
      <c r="BH15" t="s">
        <v>73</v>
      </c>
      <c r="BI15" t="s">
        <v>73</v>
      </c>
      <c r="BJ15" t="s">
        <v>73</v>
      </c>
      <c r="BK15" s="168"/>
      <c r="BL15" t="s">
        <v>73</v>
      </c>
      <c r="BM15" t="s">
        <v>73</v>
      </c>
      <c r="BN15" t="s">
        <v>73</v>
      </c>
      <c r="BO15" t="s">
        <v>73</v>
      </c>
      <c r="BP15" t="s">
        <v>73</v>
      </c>
      <c r="BQ15" s="1" t="s">
        <v>73</v>
      </c>
      <c r="BS15" s="1" t="s">
        <v>73</v>
      </c>
      <c r="BT15" s="1" t="s">
        <v>73</v>
      </c>
      <c r="BU15" s="1" t="s">
        <v>73</v>
      </c>
      <c r="BV15" s="1" t="s">
        <v>73</v>
      </c>
      <c r="CB15" s="1"/>
      <c r="CC15" s="1"/>
      <c r="CF15"/>
      <c r="CG15"/>
      <c r="CH15"/>
      <c r="CI15"/>
      <c r="CJ15"/>
      <c r="CK15"/>
      <c r="CL15"/>
      <c r="CM15"/>
      <c r="CN15"/>
      <c r="CO15"/>
      <c r="CP15"/>
      <c r="CQ15"/>
      <c r="CR15"/>
      <c r="CS15"/>
      <c r="CT15"/>
    </row>
    <row r="16" spans="1:101" ht="16" x14ac:dyDescent="0.2">
      <c r="A16" s="168" t="s">
        <v>135</v>
      </c>
      <c r="B16" s="168" t="s">
        <v>176</v>
      </c>
      <c r="C16" t="s">
        <v>149</v>
      </c>
      <c r="D16" s="1" t="s">
        <v>73</v>
      </c>
      <c r="E16" s="1" t="s">
        <v>72</v>
      </c>
      <c r="F16" s="1" t="s">
        <v>73</v>
      </c>
      <c r="G16" s="1" t="s">
        <v>73</v>
      </c>
      <c r="I16" s="169">
        <v>6</v>
      </c>
      <c r="J16"/>
      <c r="K16"/>
      <c r="M16"/>
      <c r="N16" s="169"/>
      <c r="O16" s="169"/>
      <c r="P16" s="169"/>
      <c r="Q16" s="1" t="s">
        <v>73</v>
      </c>
      <c r="R16" s="1" t="s">
        <v>73</v>
      </c>
      <c r="S16" s="1" t="s">
        <v>73</v>
      </c>
      <c r="T16"/>
      <c r="U16"/>
      <c r="V16"/>
      <c r="W16"/>
      <c r="X16"/>
      <c r="Y16"/>
      <c r="Z16" s="1" t="s">
        <v>73</v>
      </c>
      <c r="AA16" s="1" t="s">
        <v>73</v>
      </c>
      <c r="AB16"/>
      <c r="AC16"/>
      <c r="AD16"/>
      <c r="AE16"/>
      <c r="AF16"/>
      <c r="AG16"/>
      <c r="AH16"/>
      <c r="AI16"/>
      <c r="AJ16"/>
      <c r="AK16" s="1" t="s">
        <v>73</v>
      </c>
      <c r="AL16" s="1" t="s">
        <v>72</v>
      </c>
      <c r="AM16" s="171">
        <v>4</v>
      </c>
      <c r="AN16" s="1" t="s">
        <v>73</v>
      </c>
      <c r="AO16"/>
      <c r="AP16" s="1" t="s">
        <v>73</v>
      </c>
      <c r="AQ16" s="171"/>
      <c r="AR16" s="1" t="s">
        <v>73</v>
      </c>
      <c r="AT16" s="169" t="s">
        <v>73</v>
      </c>
      <c r="AW16" s="1">
        <v>35</v>
      </c>
      <c r="AX16" s="1">
        <v>2</v>
      </c>
      <c r="AY16" t="s">
        <v>73</v>
      </c>
      <c r="AZ16" t="s">
        <v>73</v>
      </c>
      <c r="BA16" s="61" t="s">
        <v>73</v>
      </c>
      <c r="BB16" s="168">
        <v>1815</v>
      </c>
      <c r="BC16" s="87">
        <v>45634.680821759262</v>
      </c>
      <c r="BD16" s="87">
        <v>45634.639155092591</v>
      </c>
      <c r="BE16" t="s">
        <v>73</v>
      </c>
      <c r="BF16" t="s">
        <v>73</v>
      </c>
      <c r="BG16" t="s">
        <v>73</v>
      </c>
      <c r="BH16" t="s">
        <v>73</v>
      </c>
      <c r="BI16" t="s">
        <v>73</v>
      </c>
      <c r="BJ16" t="s">
        <v>73</v>
      </c>
      <c r="BK16" s="168"/>
      <c r="BL16" t="s">
        <v>73</v>
      </c>
      <c r="BM16" t="s">
        <v>73</v>
      </c>
      <c r="BN16" t="s">
        <v>73</v>
      </c>
      <c r="BO16" t="s">
        <v>73</v>
      </c>
      <c r="BP16" t="s">
        <v>73</v>
      </c>
      <c r="BQ16" s="1" t="s">
        <v>73</v>
      </c>
      <c r="BS16" s="1" t="s">
        <v>73</v>
      </c>
      <c r="BT16" s="1" t="s">
        <v>73</v>
      </c>
      <c r="BU16" s="1" t="s">
        <v>73</v>
      </c>
      <c r="BV16" s="1" t="s">
        <v>73</v>
      </c>
      <c r="CB16" s="1"/>
      <c r="CC16" s="1"/>
      <c r="CF16"/>
      <c r="CG16"/>
      <c r="CH16"/>
      <c r="CI16"/>
      <c r="CJ16"/>
      <c r="CK16"/>
      <c r="CL16"/>
      <c r="CM16"/>
      <c r="CN16"/>
      <c r="CO16"/>
      <c r="CP16"/>
      <c r="CQ16"/>
      <c r="CR16"/>
      <c r="CS16"/>
      <c r="CT16"/>
    </row>
    <row r="17" spans="1:98" ht="16" x14ac:dyDescent="0.2">
      <c r="A17" s="168" t="s">
        <v>135</v>
      </c>
      <c r="B17" s="168" t="s">
        <v>177</v>
      </c>
      <c r="C17" t="s">
        <v>148</v>
      </c>
      <c r="D17" s="1" t="s">
        <v>73</v>
      </c>
      <c r="E17" s="1" t="s">
        <v>72</v>
      </c>
      <c r="F17" s="1" t="s">
        <v>72</v>
      </c>
      <c r="G17" s="1" t="s">
        <v>73</v>
      </c>
      <c r="I17" s="169">
        <v>4</v>
      </c>
      <c r="J17"/>
      <c r="K17"/>
      <c r="L17" s="1">
        <v>3</v>
      </c>
      <c r="M17"/>
      <c r="N17" s="169"/>
      <c r="O17" s="169"/>
      <c r="P17" s="169"/>
      <c r="Q17" s="1" t="s">
        <v>73</v>
      </c>
      <c r="R17" s="1" t="s">
        <v>73</v>
      </c>
      <c r="S17" s="1" t="s">
        <v>73</v>
      </c>
      <c r="T17"/>
      <c r="U17"/>
      <c r="V17"/>
      <c r="W17"/>
      <c r="X17"/>
      <c r="Y17"/>
      <c r="Z17" s="1" t="s">
        <v>73</v>
      </c>
      <c r="AA17" s="1" t="s">
        <v>73</v>
      </c>
      <c r="AB17"/>
      <c r="AC17"/>
      <c r="AD17"/>
      <c r="AE17"/>
      <c r="AF17"/>
      <c r="AG17"/>
      <c r="AH17"/>
      <c r="AI17"/>
      <c r="AJ17"/>
      <c r="AK17" s="1" t="s">
        <v>73</v>
      </c>
      <c r="AL17" s="1" t="s">
        <v>72</v>
      </c>
      <c r="AM17" s="171">
        <v>4</v>
      </c>
      <c r="AN17" s="1" t="s">
        <v>72</v>
      </c>
      <c r="AO17">
        <v>4</v>
      </c>
      <c r="AP17" s="1" t="s">
        <v>73</v>
      </c>
      <c r="AQ17" s="171"/>
      <c r="AR17" s="1" t="s">
        <v>72</v>
      </c>
      <c r="AS17">
        <v>4</v>
      </c>
      <c r="AT17" s="169" t="s">
        <v>73</v>
      </c>
      <c r="AW17" s="1">
        <v>50</v>
      </c>
      <c r="AX17" s="1">
        <v>3</v>
      </c>
      <c r="AY17" t="s">
        <v>73</v>
      </c>
      <c r="AZ17" t="s">
        <v>73</v>
      </c>
      <c r="BA17" s="61" t="s">
        <v>73</v>
      </c>
      <c r="BB17" s="168">
        <v>1814</v>
      </c>
      <c r="BC17" s="87">
        <v>45631.918958333335</v>
      </c>
      <c r="BD17" s="87">
        <v>45631.877291666664</v>
      </c>
      <c r="BE17" t="s">
        <v>73</v>
      </c>
      <c r="BF17" t="s">
        <v>73</v>
      </c>
      <c r="BG17" t="s">
        <v>73</v>
      </c>
      <c r="BH17" t="s">
        <v>73</v>
      </c>
      <c r="BI17" t="s">
        <v>73</v>
      </c>
      <c r="BJ17" t="s">
        <v>73</v>
      </c>
      <c r="BK17" s="168"/>
      <c r="BL17" t="s">
        <v>73</v>
      </c>
      <c r="BM17" t="s">
        <v>73</v>
      </c>
      <c r="BN17" t="s">
        <v>73</v>
      </c>
      <c r="BO17" t="s">
        <v>73</v>
      </c>
      <c r="BP17" t="s">
        <v>73</v>
      </c>
      <c r="BQ17" s="1" t="s">
        <v>73</v>
      </c>
      <c r="BS17" s="1" t="s">
        <v>73</v>
      </c>
      <c r="BT17" s="1" t="s">
        <v>73</v>
      </c>
      <c r="BU17" s="1" t="s">
        <v>73</v>
      </c>
      <c r="BV17" s="1" t="s">
        <v>73</v>
      </c>
      <c r="CB17" s="1"/>
      <c r="CC17" s="1"/>
      <c r="CF17"/>
      <c r="CG17"/>
      <c r="CH17"/>
      <c r="CI17"/>
      <c r="CJ17"/>
      <c r="CK17"/>
      <c r="CL17"/>
      <c r="CM17"/>
      <c r="CN17"/>
      <c r="CO17"/>
      <c r="CP17"/>
      <c r="CQ17"/>
      <c r="CR17"/>
      <c r="CS17"/>
      <c r="CT17"/>
    </row>
    <row r="18" spans="1:98" ht="17" thickBot="1" x14ac:dyDescent="0.25">
      <c r="A18" s="168" t="s">
        <v>135</v>
      </c>
      <c r="B18" s="168" t="s">
        <v>178</v>
      </c>
      <c r="C18" t="s">
        <v>132</v>
      </c>
      <c r="D18" s="1" t="s">
        <v>73</v>
      </c>
      <c r="E18" s="1" t="s">
        <v>72</v>
      </c>
      <c r="F18" s="1" t="s">
        <v>72</v>
      </c>
      <c r="G18" s="1" t="s">
        <v>73</v>
      </c>
      <c r="I18" s="169"/>
      <c r="J18"/>
      <c r="K18"/>
      <c r="M18"/>
      <c r="N18" s="169"/>
      <c r="O18" s="169"/>
      <c r="P18" s="169"/>
      <c r="Q18" s="1" t="s">
        <v>73</v>
      </c>
      <c r="R18" s="1" t="s">
        <v>73</v>
      </c>
      <c r="S18" s="1" t="s">
        <v>73</v>
      </c>
      <c r="T18"/>
      <c r="U18"/>
      <c r="V18"/>
      <c r="W18"/>
      <c r="X18"/>
      <c r="Y18"/>
      <c r="Z18" s="1" t="s">
        <v>73</v>
      </c>
      <c r="AA18" s="1" t="s">
        <v>73</v>
      </c>
      <c r="AB18"/>
      <c r="AC18"/>
      <c r="AD18"/>
      <c r="AE18"/>
      <c r="AF18"/>
      <c r="AG18"/>
      <c r="AH18"/>
      <c r="AI18"/>
      <c r="AJ18"/>
      <c r="AK18" s="1" t="s">
        <v>73</v>
      </c>
      <c r="AL18" s="1" t="s">
        <v>72</v>
      </c>
      <c r="AM18" s="171">
        <v>6</v>
      </c>
      <c r="AN18" s="1" t="s">
        <v>72</v>
      </c>
      <c r="AO18">
        <v>6</v>
      </c>
      <c r="AP18" s="1" t="s">
        <v>72</v>
      </c>
      <c r="AQ18" s="171">
        <v>6</v>
      </c>
      <c r="AR18" s="1" t="s">
        <v>72</v>
      </c>
      <c r="AS18">
        <v>6</v>
      </c>
      <c r="AT18" s="169" t="s">
        <v>72</v>
      </c>
      <c r="AU18" s="1">
        <v>1</v>
      </c>
      <c r="AV18" s="1">
        <v>1</v>
      </c>
      <c r="AW18" s="1">
        <v>25</v>
      </c>
      <c r="AX18" s="1">
        <v>3</v>
      </c>
      <c r="AY18" t="s">
        <v>73</v>
      </c>
      <c r="AZ18" t="s">
        <v>73</v>
      </c>
      <c r="BA18" s="61" t="s">
        <v>73</v>
      </c>
      <c r="BB18" s="168">
        <v>1807</v>
      </c>
      <c r="BC18" s="87">
        <v>45619.272326388891</v>
      </c>
      <c r="BD18" s="87">
        <v>45631.710601851853</v>
      </c>
      <c r="BE18" t="s">
        <v>73</v>
      </c>
      <c r="BF18" t="s">
        <v>73</v>
      </c>
      <c r="BG18" t="s">
        <v>73</v>
      </c>
      <c r="BH18" t="s">
        <v>73</v>
      </c>
      <c r="BI18" t="s">
        <v>73</v>
      </c>
      <c r="BJ18" t="s">
        <v>73</v>
      </c>
      <c r="BK18" s="168"/>
      <c r="BL18" t="s">
        <v>73</v>
      </c>
      <c r="BM18" t="s">
        <v>73</v>
      </c>
      <c r="BN18" t="s">
        <v>73</v>
      </c>
      <c r="BO18" t="s">
        <v>73</v>
      </c>
      <c r="BP18" t="s">
        <v>73</v>
      </c>
      <c r="BQ18" s="1" t="s">
        <v>73</v>
      </c>
      <c r="BS18" s="1" t="s">
        <v>73</v>
      </c>
      <c r="BT18" s="1" t="s">
        <v>73</v>
      </c>
      <c r="BU18" s="1" t="s">
        <v>73</v>
      </c>
      <c r="BV18" s="1" t="s">
        <v>73</v>
      </c>
      <c r="CB18" s="1"/>
      <c r="CC18" s="1"/>
      <c r="CF18"/>
      <c r="CG18"/>
      <c r="CH18"/>
      <c r="CI18"/>
      <c r="CJ18"/>
      <c r="CK18"/>
      <c r="CL18"/>
      <c r="CM18"/>
      <c r="CN18"/>
      <c r="CO18"/>
      <c r="CP18"/>
      <c r="CQ18"/>
      <c r="CR18"/>
      <c r="CS18"/>
      <c r="CT18"/>
    </row>
    <row r="19" spans="1:98" ht="16" thickTop="1" x14ac:dyDescent="0.2">
      <c r="A19" t="s">
        <v>79</v>
      </c>
      <c r="C19">
        <f>SUBTOTAL(103,KDA[Naam vereniging])</f>
        <v>12</v>
      </c>
      <c r="D19" s="1">
        <f>COUNTIF(KDA[Delegatie],"x")</f>
        <v>0</v>
      </c>
      <c r="E19" s="16">
        <f>COUNTIF(KDA[Muziekkorps bij mars en defilé],"x")</f>
        <v>12</v>
      </c>
      <c r="F19" s="16">
        <f>COUNTIF(KDA[Deeln. jeugdkoningschieten],"x")</f>
        <v>9</v>
      </c>
      <c r="G19" s="16">
        <f>COUNTIF(KDA[Maj. Senioren jureren bij mars],"x")</f>
        <v>0</v>
      </c>
      <c r="H19" s="16">
        <f>COUNTIF(KDA[Maj. Jeugd jureren bij mars],"x")</f>
        <v>1</v>
      </c>
      <c r="I19" s="1">
        <f>SUBTOTAL(103,KDA[Korps senioren])</f>
        <v>10</v>
      </c>
      <c r="J19" s="1">
        <f>SUBTOTAL(103,KDA[Junioren korps 1])</f>
        <v>2</v>
      </c>
      <c r="K19" s="1">
        <f>SUBTOTAL(103,KDA[Junioren korps 2])</f>
        <v>0</v>
      </c>
      <c r="L19" s="1">
        <f>SUBTOTAL(103,KDA[Aspiranten korps 1])</f>
        <v>2</v>
      </c>
      <c r="M19" s="1">
        <f>SUBTOTAL(103,KDA[Aspiranten korps 2])</f>
        <v>0</v>
      </c>
      <c r="N19" s="1">
        <f>SUBTOTAL(103,KDA[Acrobatisch senioren])</f>
        <v>0</v>
      </c>
      <c r="O19" s="1">
        <f>SUBTOTAL(103,KDA[Acrobatisch junioren])</f>
        <v>0</v>
      </c>
      <c r="P19" s="1">
        <f>SUBTOTAL(103,KDA[Acrobatisch aspiranten])</f>
        <v>0</v>
      </c>
      <c r="T19" s="79">
        <f>SUBTOTAL(109,KDA[Senioren indiv.])</f>
        <v>3</v>
      </c>
      <c r="U19" s="79">
        <f>SUBTOTAL(109,KDA[Junioren indiv.])</f>
        <v>0</v>
      </c>
      <c r="V19" s="1">
        <f>SUBTOTAL(109,KDA[Aspiranten indiv.])</f>
        <v>0</v>
      </c>
      <c r="W19" s="1">
        <f>SUBTOTAL(109,KDA[Sen. ind opgegeven namen])</f>
        <v>3</v>
      </c>
      <c r="X19" s="1">
        <f>SUBTOTAL(109,KDA[Jun. ind opgegeven namen])</f>
        <v>0</v>
      </c>
      <c r="Y19" s="1">
        <f>SUBTOTAL(109,KDA[Asp. ind opgegeven namen])</f>
        <v>0</v>
      </c>
      <c r="Z19" s="16">
        <f>COUNTIF(KDA[Hoofdkorps],"x")</f>
        <v>1</v>
      </c>
      <c r="AA19" s="120">
        <f>COUNTIF(KDA[2e korps],"x")</f>
        <v>0</v>
      </c>
      <c r="AB19" s="1">
        <f>SUBTOTAL(109,KDA[Groepen, teams, ensembles en duo''s])</f>
        <v>0</v>
      </c>
      <c r="AC19" s="1">
        <f>SUBTOTAL(109,KDA[Senioren])</f>
        <v>7</v>
      </c>
      <c r="AD19" s="1">
        <f>SUBTOTAL(109,KDA[Jong volwassene])</f>
        <v>1</v>
      </c>
      <c r="AE19" s="1">
        <f>SUBTOTAL(109,KDA[Junioren])</f>
        <v>0</v>
      </c>
      <c r="AF19" s="1">
        <f>SUBTOTAL(109,KDA[Aspiranten])</f>
        <v>0</v>
      </c>
      <c r="AG19" s="1">
        <f>SUBTOTAL(109,KDA[Opgegeven senioren])</f>
        <v>7</v>
      </c>
      <c r="AH19" s="1">
        <f>SUBTOTAL(109,KDA[Opgegeven jong volwassene])</f>
        <v>1</v>
      </c>
      <c r="AI19" s="1">
        <f>SUBTOTAL(109,KDA[Opgegeven junioren])</f>
        <v>0</v>
      </c>
      <c r="AJ19" s="1">
        <f>SUBTOTAL(109,KDA[Opgegeven aspiranten])</f>
        <v>0</v>
      </c>
      <c r="AK19" s="1">
        <f>COUNTIF(KDA[Marketentsters],"x")</f>
        <v>1</v>
      </c>
      <c r="AL19" s="1">
        <f>COUNTIF(KDA[Luchtgeweer],"x")</f>
        <v>10</v>
      </c>
      <c r="AM19">
        <f>SUBTOTAL(109,KDA[Aantal luchtgeweerschutters])</f>
        <v>53</v>
      </c>
      <c r="AN19" s="1">
        <f>COUNTIF(KDA[Luchtpistool],"x")</f>
        <v>9</v>
      </c>
      <c r="AO19" s="1">
        <f>SUBTOTAL(109,KDA[Aantal luchtpistoolschutters])</f>
        <v>49</v>
      </c>
      <c r="AP19" s="1">
        <f>COUNTIF(KDA[Handboog],"x")</f>
        <v>2</v>
      </c>
      <c r="AQ19">
        <f>SUBTOTAL(109,KDA[Aantal handboogschutters])</f>
        <v>12</v>
      </c>
      <c r="AR19" s="1">
        <f>COUNTIF(KDA[Kruisboog],"x")</f>
        <v>8</v>
      </c>
      <c r="AS19" s="1">
        <f>SUBTOTAL(109,KDA[Aantal kruisboogschutters])</f>
        <v>45</v>
      </c>
      <c r="AT19" s="1">
        <f>COUNTIF(KDA[Luchtgeweer jeugd niet ouder dan 17 jaar.],"x")</f>
        <v>4</v>
      </c>
      <c r="AU19" s="1">
        <f>SUBTOTAL(109,KDA[Aantal korpsen])</f>
        <v>8</v>
      </c>
      <c r="AV19" s="1">
        <f>SUBTOTAL(109,KDA[Opgegeven jeugdkorpsen LG])</f>
        <v>1</v>
      </c>
      <c r="AW19" s="1">
        <f>SUBTOTAL(109,KDA[Totaal aantal deelnemers])</f>
        <v>555</v>
      </c>
      <c r="AX19" s="1">
        <f>SUBTOTAL(109,KDA[Waarvan aantal jeugd (t/m 15 jaar)])</f>
        <v>78</v>
      </c>
      <c r="AY19" s="86">
        <f>COUNTIF(KDA[Kanon etc.],"x")</f>
        <v>2</v>
      </c>
      <c r="AZ19" s="1">
        <f>COUNTIF(KDA[Paarden en/of koetsen],"x")</f>
        <v>0</v>
      </c>
      <c r="BA19" s="63"/>
      <c r="BB19" s="1"/>
      <c r="BC19" s="1"/>
      <c r="BD19" s="1"/>
      <c r="BE19" s="1"/>
      <c r="BF19" s="1"/>
      <c r="BG19" s="1"/>
      <c r="BH19" s="1"/>
      <c r="BI19" s="1"/>
      <c r="BJ19" s="1"/>
      <c r="BK19" s="1"/>
      <c r="BL19" s="1"/>
      <c r="BM19" s="1"/>
      <c r="BN19" s="1"/>
      <c r="BO19" s="1"/>
      <c r="BP19" s="1"/>
      <c r="BQ19" s="1"/>
      <c r="BR19" s="1"/>
      <c r="BS19" s="1"/>
      <c r="BT19" s="1"/>
      <c r="BU19" s="1"/>
      <c r="BV19" s="1"/>
      <c r="BW19" s="1">
        <f>SUBTOTAL(109,KDA[Aantal opgegeven majorettes])</f>
        <v>0</v>
      </c>
      <c r="CB19" s="1"/>
      <c r="CC19" s="1"/>
      <c r="CD19" s="1"/>
      <c r="CE19" s="1"/>
      <c r="CH19"/>
      <c r="CI19"/>
      <c r="CJ19"/>
      <c r="CK19"/>
      <c r="CL19"/>
      <c r="CM19"/>
      <c r="CN19"/>
      <c r="CO19"/>
      <c r="CP19"/>
      <c r="CQ19"/>
      <c r="CR19"/>
      <c r="CS19"/>
      <c r="CT19"/>
    </row>
    <row r="20" spans="1:98" x14ac:dyDescent="0.2">
      <c r="CB20" s="1"/>
      <c r="CC20" s="1"/>
      <c r="CD20" s="1"/>
      <c r="CE20" s="1"/>
      <c r="CH20"/>
      <c r="CI20"/>
      <c r="CJ20"/>
      <c r="CK20"/>
      <c r="CL20"/>
      <c r="CM20"/>
      <c r="CN20"/>
      <c r="CO20"/>
      <c r="CP20"/>
      <c r="CQ20"/>
      <c r="CR20"/>
      <c r="CS20"/>
      <c r="CT20"/>
    </row>
    <row r="21" spans="1:98" x14ac:dyDescent="0.2">
      <c r="CB21" s="1"/>
      <c r="CC21" s="1"/>
      <c r="CD21" s="1"/>
      <c r="CE21" s="1"/>
      <c r="CH21"/>
      <c r="CI21"/>
      <c r="CJ21"/>
      <c r="CK21"/>
      <c r="CL21"/>
      <c r="CM21"/>
      <c r="CN21"/>
      <c r="CO21"/>
      <c r="CP21"/>
      <c r="CQ21"/>
      <c r="CR21"/>
      <c r="CS21"/>
      <c r="CT21"/>
    </row>
  </sheetData>
  <mergeCells count="14">
    <mergeCell ref="A1:CG1"/>
    <mergeCell ref="A2:CG2"/>
    <mergeCell ref="D3:H3"/>
    <mergeCell ref="I3:Y3"/>
    <mergeCell ref="Z3:AA3"/>
    <mergeCell ref="AL3:AV3"/>
    <mergeCell ref="BE3:BR3"/>
    <mergeCell ref="BS3:CA3"/>
    <mergeCell ref="AW3:BD3"/>
    <mergeCell ref="N4:P4"/>
    <mergeCell ref="Q4:S4"/>
    <mergeCell ref="T4:Y4"/>
    <mergeCell ref="BE4:BK4"/>
    <mergeCell ref="BL4:BR4"/>
  </mergeCells>
  <phoneticPr fontId="2" type="noConversion"/>
  <conditionalFormatting sqref="W6:W18">
    <cfRule type="expression" dxfId="22" priority="1">
      <formula>$T6-$W6&lt;&gt;0</formula>
    </cfRule>
  </conditionalFormatting>
  <conditionalFormatting sqref="X6:X18">
    <cfRule type="expression" dxfId="21" priority="2">
      <formula>$U6-$X6&lt;&gt;0</formula>
    </cfRule>
  </conditionalFormatting>
  <conditionalFormatting sqref="Y6:Y18">
    <cfRule type="expression" dxfId="20" priority="3">
      <formula>$V6-$Y6&lt;&gt;0</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C07CA-0AAA-4DAD-9D01-38C57DE0F2FF}">
  <dimension ref="A1:CG23"/>
  <sheetViews>
    <sheetView zoomScale="110" zoomScaleNormal="110" workbookViewId="0">
      <pane xSplit="3" ySplit="6" topLeftCell="E7" activePane="bottomRight" state="frozen"/>
      <selection pane="topRight" activeCell="D1" sqref="D1"/>
      <selection pane="bottomLeft" activeCell="A7" sqref="A7"/>
      <selection pane="bottomRight" activeCell="BX6" sqref="BX6"/>
    </sheetView>
  </sheetViews>
  <sheetFormatPr baseColWidth="10" defaultColWidth="9.1640625" defaultRowHeight="15" x14ac:dyDescent="0.2"/>
  <cols>
    <col min="1" max="1" width="11.5" bestFit="1" customWidth="1"/>
    <col min="2" max="2" width="8.6640625" bestFit="1" customWidth="1"/>
    <col min="3" max="3" width="30.33203125" bestFit="1" customWidth="1"/>
    <col min="4" max="4" width="3.5" style="1" bestFit="1" customWidth="1"/>
    <col min="5" max="8" width="8.5" style="1" bestFit="1" customWidth="1"/>
    <col min="9" max="9" width="8.5" style="1" customWidth="1"/>
    <col min="10" max="16" width="8.5" style="1" bestFit="1" customWidth="1"/>
    <col min="17" max="19" width="7.6640625" style="1" hidden="1" customWidth="1"/>
    <col min="20" max="26" width="8.5" style="1" bestFit="1" customWidth="1"/>
    <col min="27" max="27" width="7.6640625" style="1" hidden="1" customWidth="1"/>
    <col min="28" max="32" width="8.5" style="1" bestFit="1" customWidth="1"/>
    <col min="33" max="36" width="3.5" style="1" bestFit="1" customWidth="1"/>
    <col min="37" max="38" width="8.5" style="1" bestFit="1" customWidth="1"/>
    <col min="39" max="39" width="3.5" style="1" bestFit="1" customWidth="1"/>
    <col min="40" max="40" width="8.5" style="1" bestFit="1" customWidth="1"/>
    <col min="41" max="41" width="3.5" style="1" bestFit="1" customWidth="1"/>
    <col min="42" max="42" width="8.5" style="1" bestFit="1" customWidth="1"/>
    <col min="43" max="43" width="3.5" style="1" bestFit="1" customWidth="1"/>
    <col min="44" max="44" width="8.5" style="61" bestFit="1" customWidth="1"/>
    <col min="45" max="45" width="3.5" bestFit="1" customWidth="1"/>
    <col min="46" max="47" width="8.5" bestFit="1" customWidth="1"/>
    <col min="48" max="48" width="3.5" bestFit="1" customWidth="1"/>
    <col min="49" max="49" width="8.5" style="63" bestFit="1" customWidth="1"/>
    <col min="50" max="50" width="8.5" style="1" bestFit="1" customWidth="1"/>
    <col min="51" max="52" width="8.5" bestFit="1" customWidth="1"/>
    <col min="53" max="53" width="31" bestFit="1" customWidth="1"/>
    <col min="54" max="54" width="8.5" bestFit="1" customWidth="1"/>
    <col min="55" max="56" width="15" bestFit="1" customWidth="1"/>
    <col min="57" max="57" width="29.1640625" bestFit="1" customWidth="1"/>
    <col min="58" max="58" width="8.5" bestFit="1" customWidth="1"/>
    <col min="59" max="59" width="12.33203125" bestFit="1" customWidth="1"/>
    <col min="60" max="60" width="28.33203125" bestFit="1" customWidth="1"/>
    <col min="61" max="62" width="9.1640625" bestFit="1" customWidth="1"/>
    <col min="63" max="63" width="8.5" bestFit="1" customWidth="1"/>
    <col min="64" max="70" width="7.6640625" hidden="1" customWidth="1"/>
    <col min="71" max="75" width="8.5" bestFit="1" customWidth="1"/>
    <col min="76" max="76" width="39.33203125" style="1" bestFit="1" customWidth="1"/>
    <col min="77" max="77" width="42" style="1" bestFit="1" customWidth="1"/>
    <col min="78" max="78" width="35.6640625" style="1" bestFit="1" customWidth="1"/>
    <col min="79" max="80" width="7.6640625" style="1" bestFit="1" customWidth="1"/>
    <col min="81" max="81" width="10.1640625" style="1" bestFit="1" customWidth="1"/>
    <col min="82" max="82" width="15.6640625" style="1" bestFit="1" customWidth="1"/>
  </cols>
  <sheetData>
    <row r="1" spans="1:85" ht="27" customHeight="1" x14ac:dyDescent="0.2">
      <c r="A1" s="142" t="s">
        <v>83</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72"/>
      <c r="BY1" s="72"/>
      <c r="BZ1" s="72"/>
      <c r="CA1" s="72"/>
      <c r="CB1" s="72"/>
      <c r="CC1" s="72"/>
      <c r="CD1" s="72"/>
    </row>
    <row r="2" spans="1:85" ht="20" thickBot="1" x14ac:dyDescent="0.3">
      <c r="A2" s="143" t="s">
        <v>142</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73"/>
      <c r="BY2" s="73"/>
      <c r="BZ2" s="73"/>
      <c r="CA2" s="73"/>
      <c r="CB2" s="73"/>
      <c r="CC2" s="73"/>
      <c r="CD2" s="73"/>
    </row>
    <row r="3" spans="1:85" ht="16" thickBot="1" x14ac:dyDescent="0.25">
      <c r="A3" s="20"/>
      <c r="B3" s="21"/>
      <c r="C3" s="22"/>
      <c r="D3" s="133" t="s">
        <v>1</v>
      </c>
      <c r="E3" s="134"/>
      <c r="F3" s="134"/>
      <c r="G3" s="134"/>
      <c r="H3" s="135"/>
      <c r="I3" s="136" t="s">
        <v>2</v>
      </c>
      <c r="J3" s="137"/>
      <c r="K3" s="137"/>
      <c r="L3" s="137"/>
      <c r="M3" s="137"/>
      <c r="N3" s="137"/>
      <c r="O3" s="137"/>
      <c r="P3" s="137"/>
      <c r="Q3" s="137"/>
      <c r="R3" s="137"/>
      <c r="S3" s="137"/>
      <c r="T3" s="137"/>
      <c r="U3" s="137"/>
      <c r="V3" s="137"/>
      <c r="W3" s="137"/>
      <c r="X3" s="137"/>
      <c r="Y3" s="138"/>
      <c r="Z3" s="133" t="s">
        <v>3</v>
      </c>
      <c r="AA3" s="135"/>
      <c r="AB3" s="26" t="s">
        <v>4</v>
      </c>
      <c r="AC3" s="95" t="s">
        <v>5</v>
      </c>
      <c r="AD3" s="96"/>
      <c r="AE3" s="96"/>
      <c r="AF3" s="96"/>
      <c r="AG3" s="96"/>
      <c r="AH3" s="96"/>
      <c r="AI3" s="96"/>
      <c r="AJ3" s="97"/>
      <c r="AK3" s="26" t="s">
        <v>6</v>
      </c>
      <c r="AL3" s="133" t="s">
        <v>7</v>
      </c>
      <c r="AM3" s="134"/>
      <c r="AN3" s="134"/>
      <c r="AO3" s="134"/>
      <c r="AP3" s="134"/>
      <c r="AQ3" s="134"/>
      <c r="AR3" s="134"/>
      <c r="AS3" s="134"/>
      <c r="AT3" s="134"/>
      <c r="AU3" s="134"/>
      <c r="AV3" s="135"/>
      <c r="AW3" s="133" t="s">
        <v>8</v>
      </c>
      <c r="AX3" s="134"/>
      <c r="AY3" s="134"/>
      <c r="AZ3" s="134"/>
      <c r="BA3" s="134"/>
      <c r="BB3" s="134"/>
      <c r="BC3" s="134"/>
      <c r="BD3" s="135"/>
      <c r="BE3" s="136" t="s">
        <v>9</v>
      </c>
      <c r="BF3" s="137"/>
      <c r="BG3" s="137"/>
      <c r="BH3" s="137"/>
      <c r="BI3" s="137"/>
      <c r="BJ3" s="137"/>
      <c r="BK3" s="137"/>
      <c r="BL3" s="137"/>
      <c r="BM3" s="137"/>
      <c r="BN3" s="137"/>
      <c r="BO3" s="137"/>
      <c r="BP3" s="137"/>
      <c r="BQ3" s="137"/>
      <c r="BR3" s="137"/>
      <c r="BS3" s="139" t="s">
        <v>10</v>
      </c>
      <c r="BT3" s="140"/>
      <c r="BU3" s="140"/>
      <c r="BV3" s="140"/>
      <c r="BW3" s="141"/>
      <c r="BX3"/>
      <c r="BY3"/>
      <c r="BZ3"/>
      <c r="CA3"/>
      <c r="CB3"/>
      <c r="CC3"/>
      <c r="CD3"/>
    </row>
    <row r="4" spans="1:85" ht="16" thickBot="1" x14ac:dyDescent="0.25">
      <c r="A4" s="23"/>
      <c r="B4" s="24"/>
      <c r="C4" s="25"/>
      <c r="D4" s="23"/>
      <c r="E4" s="24"/>
      <c r="F4" s="24"/>
      <c r="G4" s="24"/>
      <c r="H4" s="25"/>
      <c r="I4" s="136" t="s">
        <v>11</v>
      </c>
      <c r="J4" s="137"/>
      <c r="K4" s="137"/>
      <c r="L4" s="137"/>
      <c r="M4" s="138"/>
      <c r="N4" s="136" t="s">
        <v>88</v>
      </c>
      <c r="O4" s="137"/>
      <c r="P4" s="138"/>
      <c r="Q4" s="136" t="s">
        <v>13</v>
      </c>
      <c r="R4" s="137"/>
      <c r="S4" s="138"/>
      <c r="T4" s="136" t="s">
        <v>14</v>
      </c>
      <c r="U4" s="137"/>
      <c r="V4" s="137"/>
      <c r="W4" s="137"/>
      <c r="X4" s="137"/>
      <c r="Y4" s="138"/>
      <c r="Z4" s="23"/>
      <c r="AA4" s="25"/>
      <c r="AB4" s="27"/>
      <c r="AC4" s="23"/>
      <c r="AD4" s="24"/>
      <c r="AE4" s="24"/>
      <c r="AF4" s="24"/>
      <c r="AG4" s="24"/>
      <c r="AH4" s="24"/>
      <c r="AI4" s="24"/>
      <c r="AJ4" s="25"/>
      <c r="AK4" s="27"/>
      <c r="AL4" s="23"/>
      <c r="AM4" s="24"/>
      <c r="AN4" s="24"/>
      <c r="AO4" s="24"/>
      <c r="AP4" s="24"/>
      <c r="AQ4" s="24"/>
      <c r="AR4" s="24"/>
      <c r="AS4" s="24"/>
      <c r="AT4" s="24"/>
      <c r="AU4" s="24"/>
      <c r="AV4" s="25"/>
      <c r="AW4" s="23"/>
      <c r="AX4" s="24"/>
      <c r="AY4" s="24"/>
      <c r="AZ4" s="24"/>
      <c r="BA4" s="62"/>
      <c r="BB4" s="24"/>
      <c r="BC4" s="24"/>
      <c r="BD4" s="25"/>
      <c r="BE4" s="136" t="s">
        <v>15</v>
      </c>
      <c r="BF4" s="137"/>
      <c r="BG4" s="137"/>
      <c r="BH4" s="137"/>
      <c r="BI4" s="137"/>
      <c r="BJ4" s="137"/>
      <c r="BK4" s="138"/>
      <c r="BL4" s="136" t="s">
        <v>16</v>
      </c>
      <c r="BM4" s="137"/>
      <c r="BN4" s="137"/>
      <c r="BO4" s="137"/>
      <c r="BP4" s="137"/>
      <c r="BQ4" s="137"/>
      <c r="BR4" s="138"/>
      <c r="BS4" s="125"/>
      <c r="BT4" s="99"/>
      <c r="BU4" s="99"/>
      <c r="BV4" s="99"/>
      <c r="BW4" s="100"/>
      <c r="BX4" s="34"/>
      <c r="BY4" s="34"/>
      <c r="BZ4"/>
      <c r="CA4"/>
      <c r="CB4"/>
      <c r="CC4"/>
      <c r="CD4"/>
    </row>
    <row r="5" spans="1:85" ht="6.75" hidden="1" customHeight="1" x14ac:dyDescent="0.2">
      <c r="AR5" s="63"/>
      <c r="AS5" s="1"/>
      <c r="AT5" s="1"/>
      <c r="AU5" s="1"/>
      <c r="AV5" s="1"/>
      <c r="AY5" s="1"/>
      <c r="AZ5" s="1"/>
      <c r="BA5" s="1"/>
      <c r="BB5" s="1"/>
      <c r="BC5" s="1"/>
      <c r="BD5" s="1"/>
      <c r="BE5" s="1"/>
      <c r="BF5" s="1"/>
      <c r="BG5" s="1"/>
      <c r="BH5" s="1"/>
      <c r="BI5" s="1"/>
      <c r="BJ5" s="1"/>
      <c r="BK5" s="1"/>
      <c r="BL5" s="1"/>
      <c r="BM5" s="1"/>
      <c r="BN5" s="1"/>
      <c r="BO5" s="1"/>
      <c r="BP5" s="1"/>
      <c r="BQ5" s="1"/>
      <c r="BR5" s="1"/>
      <c r="BS5" s="1"/>
      <c r="BT5" s="1"/>
      <c r="BU5" s="1"/>
      <c r="BV5" s="1"/>
      <c r="BW5" s="1"/>
      <c r="CE5" s="1"/>
      <c r="CF5" s="1"/>
      <c r="CG5" s="1"/>
    </row>
    <row r="6" spans="1:85" s="2" customFormat="1" ht="218" thickBot="1" x14ac:dyDescent="0.25">
      <c r="A6" s="6" t="s">
        <v>17</v>
      </c>
      <c r="B6" s="7" t="s">
        <v>18</v>
      </c>
      <c r="C6" s="8" t="s">
        <v>19</v>
      </c>
      <c r="D6" s="3" t="s">
        <v>20</v>
      </c>
      <c r="E6" s="4" t="s">
        <v>21</v>
      </c>
      <c r="F6" s="4" t="s">
        <v>22</v>
      </c>
      <c r="G6" s="4" t="s">
        <v>23</v>
      </c>
      <c r="H6" s="4" t="s">
        <v>24</v>
      </c>
      <c r="I6" s="9" t="s">
        <v>25</v>
      </c>
      <c r="J6" s="10" t="s">
        <v>126</v>
      </c>
      <c r="K6" s="10" t="s">
        <v>127</v>
      </c>
      <c r="L6" s="10" t="s">
        <v>128</v>
      </c>
      <c r="M6" s="11" t="s">
        <v>129</v>
      </c>
      <c r="N6" s="10" t="s">
        <v>26</v>
      </c>
      <c r="O6" s="10" t="s">
        <v>27</v>
      </c>
      <c r="P6" s="11" t="s">
        <v>28</v>
      </c>
      <c r="Q6" s="9" t="s">
        <v>29</v>
      </c>
      <c r="R6" s="10" t="s">
        <v>30</v>
      </c>
      <c r="S6" s="11" t="s">
        <v>31</v>
      </c>
      <c r="T6" s="9" t="s">
        <v>32</v>
      </c>
      <c r="U6" s="10" t="s">
        <v>33</v>
      </c>
      <c r="V6" s="10" t="s">
        <v>34</v>
      </c>
      <c r="W6" s="12" t="s">
        <v>35</v>
      </c>
      <c r="X6" s="12" t="s">
        <v>36</v>
      </c>
      <c r="Y6" s="13" t="s">
        <v>37</v>
      </c>
      <c r="Z6" s="9" t="s">
        <v>15</v>
      </c>
      <c r="AA6" s="11" t="s">
        <v>16</v>
      </c>
      <c r="AB6" s="10" t="s">
        <v>110</v>
      </c>
      <c r="AC6" s="9" t="s">
        <v>38</v>
      </c>
      <c r="AD6" s="10" t="s">
        <v>111</v>
      </c>
      <c r="AE6" s="10" t="s">
        <v>39</v>
      </c>
      <c r="AF6" s="10" t="s">
        <v>40</v>
      </c>
      <c r="AG6" s="94" t="s">
        <v>112</v>
      </c>
      <c r="AH6" s="94" t="s">
        <v>113</v>
      </c>
      <c r="AI6" s="94" t="s">
        <v>114</v>
      </c>
      <c r="AJ6" s="101" t="s">
        <v>115</v>
      </c>
      <c r="AK6" s="14" t="s">
        <v>41</v>
      </c>
      <c r="AL6" s="9" t="s">
        <v>42</v>
      </c>
      <c r="AM6" s="94" t="s">
        <v>122</v>
      </c>
      <c r="AN6" s="10" t="s">
        <v>43</v>
      </c>
      <c r="AO6" s="94" t="s">
        <v>123</v>
      </c>
      <c r="AP6" s="10" t="s">
        <v>45</v>
      </c>
      <c r="AQ6" s="94" t="s">
        <v>124</v>
      </c>
      <c r="AR6" s="10" t="s">
        <v>44</v>
      </c>
      <c r="AS6" s="94" t="s">
        <v>125</v>
      </c>
      <c r="AT6" s="10" t="s">
        <v>116</v>
      </c>
      <c r="AU6" s="10" t="s">
        <v>117</v>
      </c>
      <c r="AV6" s="94" t="s">
        <v>118</v>
      </c>
      <c r="AW6" s="9" t="s">
        <v>46</v>
      </c>
      <c r="AX6" s="10" t="s">
        <v>47</v>
      </c>
      <c r="AY6" s="10" t="s">
        <v>48</v>
      </c>
      <c r="AZ6" s="10" t="s">
        <v>49</v>
      </c>
      <c r="BA6" s="98" t="s">
        <v>50</v>
      </c>
      <c r="BB6" s="10" t="s">
        <v>51</v>
      </c>
      <c r="BC6" s="10" t="s">
        <v>52</v>
      </c>
      <c r="BD6" s="10" t="s">
        <v>108</v>
      </c>
      <c r="BE6" s="9" t="s">
        <v>53</v>
      </c>
      <c r="BF6" s="10" t="s">
        <v>54</v>
      </c>
      <c r="BG6" s="10" t="s">
        <v>55</v>
      </c>
      <c r="BH6" s="10" t="s">
        <v>56</v>
      </c>
      <c r="BI6" s="10" t="s">
        <v>57</v>
      </c>
      <c r="BJ6" s="10" t="s">
        <v>58</v>
      </c>
      <c r="BK6" s="11" t="s">
        <v>59</v>
      </c>
      <c r="BL6" s="9" t="s">
        <v>60</v>
      </c>
      <c r="BM6" s="10" t="s">
        <v>61</v>
      </c>
      <c r="BN6" s="10" t="s">
        <v>62</v>
      </c>
      <c r="BO6" s="10" t="s">
        <v>63</v>
      </c>
      <c r="BP6" s="10" t="s">
        <v>64</v>
      </c>
      <c r="BQ6" s="10" t="s">
        <v>65</v>
      </c>
      <c r="BR6" s="10" t="s">
        <v>66</v>
      </c>
      <c r="BS6" s="9" t="s">
        <v>70</v>
      </c>
      <c r="BT6" s="10" t="s">
        <v>67</v>
      </c>
      <c r="BU6" s="10" t="s">
        <v>68</v>
      </c>
      <c r="BV6" s="10" t="s">
        <v>69</v>
      </c>
      <c r="BW6" s="11" t="s">
        <v>71</v>
      </c>
    </row>
    <row r="7" spans="1:85" ht="16" x14ac:dyDescent="0.2">
      <c r="A7" t="s">
        <v>136</v>
      </c>
      <c r="B7" t="s">
        <v>210</v>
      </c>
      <c r="C7" t="s">
        <v>211</v>
      </c>
      <c r="D7" s="1" t="s">
        <v>73</v>
      </c>
      <c r="E7" s="1" t="s">
        <v>72</v>
      </c>
      <c r="F7" s="1" t="s">
        <v>72</v>
      </c>
      <c r="G7" s="1" t="s">
        <v>73</v>
      </c>
      <c r="I7" s="1">
        <v>5</v>
      </c>
      <c r="J7">
        <v>3</v>
      </c>
      <c r="K7"/>
      <c r="L7"/>
      <c r="M7"/>
      <c r="N7" s="1">
        <v>4</v>
      </c>
      <c r="Q7" s="1" t="s">
        <v>73</v>
      </c>
      <c r="R7" s="1" t="s">
        <v>73</v>
      </c>
      <c r="S7" s="1" t="s">
        <v>73</v>
      </c>
      <c r="T7" s="1">
        <v>3</v>
      </c>
      <c r="U7" s="1">
        <v>1</v>
      </c>
      <c r="W7" s="1">
        <v>3</v>
      </c>
      <c r="X7" s="1">
        <v>1</v>
      </c>
      <c r="Z7" s="1" t="s">
        <v>73</v>
      </c>
      <c r="AA7" s="1" t="s">
        <v>73</v>
      </c>
      <c r="AB7"/>
      <c r="AD7"/>
      <c r="AG7"/>
      <c r="AH7"/>
      <c r="AI7"/>
      <c r="AJ7"/>
      <c r="AK7" s="1" t="s">
        <v>72</v>
      </c>
      <c r="AL7" s="1" t="s">
        <v>73</v>
      </c>
      <c r="AM7"/>
      <c r="AN7" s="1" t="s">
        <v>73</v>
      </c>
      <c r="AO7"/>
      <c r="AP7" s="1" t="s">
        <v>73</v>
      </c>
      <c r="AQ7"/>
      <c r="AR7" s="1" t="s">
        <v>73</v>
      </c>
      <c r="AT7" t="s">
        <v>73</v>
      </c>
      <c r="AW7" s="1">
        <v>32</v>
      </c>
      <c r="AX7" s="1">
        <v>7</v>
      </c>
      <c r="AY7" t="s">
        <v>73</v>
      </c>
      <c r="AZ7" t="s">
        <v>73</v>
      </c>
      <c r="BA7" s="61" t="s">
        <v>73</v>
      </c>
      <c r="BB7">
        <v>1847</v>
      </c>
      <c r="BC7" s="87">
        <v>45642.810335648152</v>
      </c>
      <c r="BD7" s="87">
        <v>45642.76866898148</v>
      </c>
      <c r="BE7" t="s">
        <v>73</v>
      </c>
      <c r="BF7" t="s">
        <v>73</v>
      </c>
      <c r="BG7" t="s">
        <v>73</v>
      </c>
      <c r="BH7" t="s">
        <v>73</v>
      </c>
      <c r="BI7" t="s">
        <v>73</v>
      </c>
      <c r="BJ7" t="s">
        <v>73</v>
      </c>
      <c r="BL7" t="s">
        <v>73</v>
      </c>
      <c r="BM7" t="s">
        <v>73</v>
      </c>
      <c r="BN7" t="s">
        <v>73</v>
      </c>
      <c r="BO7" t="s">
        <v>73</v>
      </c>
      <c r="BP7" t="s">
        <v>73</v>
      </c>
      <c r="BQ7" s="1" t="s">
        <v>73</v>
      </c>
      <c r="BR7" s="1"/>
      <c r="BS7" s="1" t="s">
        <v>73</v>
      </c>
      <c r="BT7" s="1" t="s">
        <v>73</v>
      </c>
      <c r="BU7" s="1" t="s">
        <v>73</v>
      </c>
      <c r="BV7" s="1" t="s">
        <v>73</v>
      </c>
      <c r="BW7" s="1"/>
      <c r="BX7"/>
      <c r="BY7"/>
      <c r="BZ7"/>
      <c r="CA7"/>
      <c r="CB7"/>
      <c r="CC7"/>
      <c r="CD7"/>
    </row>
    <row r="8" spans="1:85" ht="80" x14ac:dyDescent="0.2">
      <c r="A8" t="s">
        <v>136</v>
      </c>
      <c r="B8" t="s">
        <v>179</v>
      </c>
      <c r="C8" t="s">
        <v>170</v>
      </c>
      <c r="D8" s="1" t="s">
        <v>73</v>
      </c>
      <c r="E8" s="1" t="s">
        <v>72</v>
      </c>
      <c r="F8" s="1" t="s">
        <v>72</v>
      </c>
      <c r="G8" s="1" t="s">
        <v>73</v>
      </c>
      <c r="J8"/>
      <c r="K8"/>
      <c r="L8">
        <v>6</v>
      </c>
      <c r="M8"/>
      <c r="Q8" s="1" t="s">
        <v>73</v>
      </c>
      <c r="R8" s="1" t="s">
        <v>73</v>
      </c>
      <c r="S8" s="1" t="s">
        <v>73</v>
      </c>
      <c r="U8" s="1">
        <v>1</v>
      </c>
      <c r="V8" s="1">
        <v>5</v>
      </c>
      <c r="X8" s="1">
        <v>1</v>
      </c>
      <c r="Y8" s="1">
        <v>5</v>
      </c>
      <c r="Z8" s="1" t="s">
        <v>72</v>
      </c>
      <c r="AA8" s="1" t="s">
        <v>73</v>
      </c>
      <c r="AB8"/>
      <c r="AD8"/>
      <c r="AG8"/>
      <c r="AH8"/>
      <c r="AI8"/>
      <c r="AJ8"/>
      <c r="AK8" s="1" t="s">
        <v>73</v>
      </c>
      <c r="AL8" s="1" t="s">
        <v>73</v>
      </c>
      <c r="AM8"/>
      <c r="AN8" s="1" t="s">
        <v>73</v>
      </c>
      <c r="AO8"/>
      <c r="AP8" s="1" t="s">
        <v>73</v>
      </c>
      <c r="AQ8"/>
      <c r="AR8" s="1" t="s">
        <v>73</v>
      </c>
      <c r="AT8" t="s">
        <v>72</v>
      </c>
      <c r="AU8">
        <v>3</v>
      </c>
      <c r="AW8" s="1">
        <v>42</v>
      </c>
      <c r="AX8" s="1">
        <v>42</v>
      </c>
      <c r="AY8" t="s">
        <v>73</v>
      </c>
      <c r="AZ8" t="s">
        <v>73</v>
      </c>
      <c r="BA8" s="61" t="s">
        <v>160</v>
      </c>
      <c r="BB8">
        <v>1829</v>
      </c>
      <c r="BC8" s="87">
        <v>45639.322210648148</v>
      </c>
      <c r="BD8" s="87">
        <v>45639.287627314814</v>
      </c>
      <c r="BE8" t="s">
        <v>166</v>
      </c>
      <c r="BF8" t="s">
        <v>78</v>
      </c>
      <c r="BG8" t="s">
        <v>161</v>
      </c>
      <c r="BH8" t="s">
        <v>162</v>
      </c>
      <c r="BI8" t="s">
        <v>171</v>
      </c>
      <c r="BJ8" t="s">
        <v>171</v>
      </c>
      <c r="BK8">
        <v>23</v>
      </c>
      <c r="BL8" t="s">
        <v>73</v>
      </c>
      <c r="BM8" t="s">
        <v>73</v>
      </c>
      <c r="BN8" t="s">
        <v>73</v>
      </c>
      <c r="BO8" t="s">
        <v>73</v>
      </c>
      <c r="BP8" t="s">
        <v>73</v>
      </c>
      <c r="BQ8" s="1" t="s">
        <v>73</v>
      </c>
      <c r="BR8" s="1"/>
      <c r="BS8" s="1" t="s">
        <v>73</v>
      </c>
      <c r="BT8" s="1" t="s">
        <v>73</v>
      </c>
      <c r="BU8" s="1" t="s">
        <v>73</v>
      </c>
      <c r="BV8" s="1" t="s">
        <v>73</v>
      </c>
      <c r="BW8" s="1"/>
      <c r="BX8"/>
      <c r="BY8"/>
      <c r="BZ8"/>
      <c r="CA8"/>
      <c r="CB8"/>
      <c r="CC8"/>
      <c r="CD8"/>
    </row>
    <row r="9" spans="1:85" ht="48" x14ac:dyDescent="0.2">
      <c r="A9" t="s">
        <v>136</v>
      </c>
      <c r="B9" t="s">
        <v>180</v>
      </c>
      <c r="C9" t="s">
        <v>157</v>
      </c>
      <c r="D9" s="1" t="s">
        <v>72</v>
      </c>
      <c r="E9" s="1" t="s">
        <v>72</v>
      </c>
      <c r="F9" s="1" t="s">
        <v>73</v>
      </c>
      <c r="G9" s="1" t="s">
        <v>73</v>
      </c>
      <c r="J9"/>
      <c r="K9"/>
      <c r="L9"/>
      <c r="M9"/>
      <c r="Q9" s="1" t="s">
        <v>73</v>
      </c>
      <c r="R9" s="1" t="s">
        <v>73</v>
      </c>
      <c r="S9" s="1" t="s">
        <v>73</v>
      </c>
      <c r="T9" s="1">
        <v>4</v>
      </c>
      <c r="U9" s="1">
        <v>3</v>
      </c>
      <c r="W9" s="1">
        <v>4</v>
      </c>
      <c r="X9" s="1">
        <v>3</v>
      </c>
      <c r="Z9" s="1" t="s">
        <v>73</v>
      </c>
      <c r="AA9" s="1" t="s">
        <v>73</v>
      </c>
      <c r="AB9"/>
      <c r="AD9"/>
      <c r="AG9"/>
      <c r="AH9"/>
      <c r="AI9"/>
      <c r="AJ9"/>
      <c r="AK9" s="1" t="s">
        <v>73</v>
      </c>
      <c r="AL9" s="1" t="s">
        <v>73</v>
      </c>
      <c r="AM9"/>
      <c r="AN9" s="1" t="s">
        <v>73</v>
      </c>
      <c r="AO9"/>
      <c r="AP9" s="1" t="s">
        <v>73</v>
      </c>
      <c r="AQ9"/>
      <c r="AR9" s="1" t="s">
        <v>73</v>
      </c>
      <c r="AT9" t="s">
        <v>73</v>
      </c>
      <c r="AW9" s="1">
        <v>0</v>
      </c>
      <c r="AX9" s="1">
        <v>0</v>
      </c>
      <c r="AY9" t="s">
        <v>73</v>
      </c>
      <c r="AZ9" t="s">
        <v>73</v>
      </c>
      <c r="BA9" s="61" t="s">
        <v>158</v>
      </c>
      <c r="BB9">
        <v>1828</v>
      </c>
      <c r="BC9" s="87">
        <v>45638.651747685188</v>
      </c>
      <c r="BD9" s="87">
        <v>45639.807164351849</v>
      </c>
      <c r="BE9" t="s">
        <v>73</v>
      </c>
      <c r="BF9" t="s">
        <v>73</v>
      </c>
      <c r="BG9" t="s">
        <v>73</v>
      </c>
      <c r="BH9" t="s">
        <v>73</v>
      </c>
      <c r="BI9" t="s">
        <v>73</v>
      </c>
      <c r="BJ9" t="s">
        <v>73</v>
      </c>
      <c r="BL9" t="s">
        <v>73</v>
      </c>
      <c r="BM9" t="s">
        <v>73</v>
      </c>
      <c r="BN9" t="s">
        <v>73</v>
      </c>
      <c r="BO9" t="s">
        <v>73</v>
      </c>
      <c r="BP9" t="s">
        <v>73</v>
      </c>
      <c r="BQ9" s="1" t="s">
        <v>73</v>
      </c>
      <c r="BR9" s="1"/>
      <c r="BS9" s="1" t="s">
        <v>73</v>
      </c>
      <c r="BT9" s="1" t="s">
        <v>73</v>
      </c>
      <c r="BU9" s="1" t="s">
        <v>73</v>
      </c>
      <c r="BV9" s="1" t="s">
        <v>73</v>
      </c>
      <c r="BW9" s="1"/>
      <c r="BX9"/>
      <c r="BY9"/>
      <c r="BZ9"/>
      <c r="CA9"/>
      <c r="CB9"/>
      <c r="CC9"/>
      <c r="CD9"/>
    </row>
    <row r="10" spans="1:85" ht="80" x14ac:dyDescent="0.2">
      <c r="A10" t="s">
        <v>136</v>
      </c>
      <c r="B10" t="s">
        <v>181</v>
      </c>
      <c r="C10" t="s">
        <v>159</v>
      </c>
      <c r="D10" s="1" t="s">
        <v>73</v>
      </c>
      <c r="E10" s="1" t="s">
        <v>72</v>
      </c>
      <c r="F10" s="1" t="s">
        <v>73</v>
      </c>
      <c r="G10" s="1" t="s">
        <v>73</v>
      </c>
      <c r="I10" s="1">
        <v>7</v>
      </c>
      <c r="J10"/>
      <c r="K10"/>
      <c r="L10"/>
      <c r="M10"/>
      <c r="Q10" s="1" t="s">
        <v>73</v>
      </c>
      <c r="R10" s="1" t="s">
        <v>73</v>
      </c>
      <c r="S10" s="1" t="s">
        <v>73</v>
      </c>
      <c r="T10" s="1">
        <v>1</v>
      </c>
      <c r="W10" s="1">
        <v>1</v>
      </c>
      <c r="Z10" s="1" t="s">
        <v>72</v>
      </c>
      <c r="AA10" s="1" t="s">
        <v>73</v>
      </c>
      <c r="AB10"/>
      <c r="AD10"/>
      <c r="AG10"/>
      <c r="AH10"/>
      <c r="AI10"/>
      <c r="AJ10"/>
      <c r="AK10" s="1" t="s">
        <v>73</v>
      </c>
      <c r="AL10" s="1" t="s">
        <v>72</v>
      </c>
      <c r="AM10">
        <v>6</v>
      </c>
      <c r="AN10" s="1" t="s">
        <v>72</v>
      </c>
      <c r="AO10">
        <v>6</v>
      </c>
      <c r="AP10" s="1" t="s">
        <v>73</v>
      </c>
      <c r="AQ10"/>
      <c r="AR10" s="1" t="s">
        <v>72</v>
      </c>
      <c r="AS10">
        <v>6</v>
      </c>
      <c r="AT10" t="s">
        <v>73</v>
      </c>
      <c r="AW10" s="1">
        <v>90</v>
      </c>
      <c r="AX10" s="1">
        <v>0</v>
      </c>
      <c r="AY10" t="s">
        <v>73</v>
      </c>
      <c r="AZ10" t="s">
        <v>73</v>
      </c>
      <c r="BA10" s="61" t="s">
        <v>160</v>
      </c>
      <c r="BB10">
        <v>1825</v>
      </c>
      <c r="BC10" s="87">
        <v>45637.585219907407</v>
      </c>
      <c r="BD10" s="87">
        <v>45637.543553240743</v>
      </c>
      <c r="BE10" t="s">
        <v>159</v>
      </c>
      <c r="BF10" t="s">
        <v>78</v>
      </c>
      <c r="BG10" t="s">
        <v>161</v>
      </c>
      <c r="BH10" t="s">
        <v>162</v>
      </c>
      <c r="BI10" t="s">
        <v>163</v>
      </c>
      <c r="BJ10" t="s">
        <v>163</v>
      </c>
      <c r="BK10">
        <v>62</v>
      </c>
      <c r="BL10" t="s">
        <v>73</v>
      </c>
      <c r="BM10" t="s">
        <v>73</v>
      </c>
      <c r="BN10" t="s">
        <v>73</v>
      </c>
      <c r="BO10" t="s">
        <v>73</v>
      </c>
      <c r="BP10" t="s">
        <v>73</v>
      </c>
      <c r="BQ10" s="1" t="s">
        <v>73</v>
      </c>
      <c r="BR10" s="1"/>
      <c r="BS10" s="1" t="s">
        <v>73</v>
      </c>
      <c r="BT10" s="1" t="s">
        <v>73</v>
      </c>
      <c r="BU10" s="1" t="s">
        <v>73</v>
      </c>
      <c r="BV10" s="1" t="s">
        <v>73</v>
      </c>
      <c r="BW10" s="1"/>
      <c r="BX10"/>
      <c r="BY10"/>
      <c r="BZ10"/>
      <c r="CA10"/>
      <c r="CB10"/>
      <c r="CC10"/>
      <c r="CD10"/>
    </row>
    <row r="11" spans="1:85" ht="16" x14ac:dyDescent="0.2">
      <c r="A11" t="s">
        <v>136</v>
      </c>
      <c r="B11" t="s">
        <v>182</v>
      </c>
      <c r="C11" t="s">
        <v>150</v>
      </c>
      <c r="D11" s="1" t="s">
        <v>73</v>
      </c>
      <c r="E11" s="1" t="s">
        <v>72</v>
      </c>
      <c r="F11" s="1" t="s">
        <v>72</v>
      </c>
      <c r="G11" s="1" t="s">
        <v>73</v>
      </c>
      <c r="I11" s="1">
        <v>3</v>
      </c>
      <c r="J11"/>
      <c r="K11"/>
      <c r="L11"/>
      <c r="M11"/>
      <c r="Q11" s="1" t="s">
        <v>73</v>
      </c>
      <c r="R11" s="1" t="s">
        <v>73</v>
      </c>
      <c r="S11" s="1" t="s">
        <v>73</v>
      </c>
      <c r="Z11" s="1" t="s">
        <v>73</v>
      </c>
      <c r="AA11" s="1" t="s">
        <v>73</v>
      </c>
      <c r="AB11"/>
      <c r="AD11"/>
      <c r="AG11"/>
      <c r="AH11"/>
      <c r="AI11"/>
      <c r="AJ11"/>
      <c r="AK11" s="1" t="s">
        <v>73</v>
      </c>
      <c r="AL11" s="1" t="s">
        <v>72</v>
      </c>
      <c r="AM11">
        <v>6</v>
      </c>
      <c r="AN11" s="1" t="s">
        <v>72</v>
      </c>
      <c r="AO11">
        <v>6</v>
      </c>
      <c r="AP11" s="1" t="s">
        <v>73</v>
      </c>
      <c r="AQ11"/>
      <c r="AR11" s="1" t="s">
        <v>72</v>
      </c>
      <c r="AS11">
        <v>3</v>
      </c>
      <c r="AT11" t="s">
        <v>73</v>
      </c>
      <c r="AW11" s="1">
        <v>30</v>
      </c>
      <c r="AX11" s="1">
        <v>2</v>
      </c>
      <c r="AY11" t="s">
        <v>73</v>
      </c>
      <c r="AZ11" t="s">
        <v>73</v>
      </c>
      <c r="BA11" s="61" t="s">
        <v>73</v>
      </c>
      <c r="BB11">
        <v>1818</v>
      </c>
      <c r="BC11" s="87">
        <v>45634.991388888891</v>
      </c>
      <c r="BD11" s="87">
        <v>45634.94972222222</v>
      </c>
      <c r="BE11" t="s">
        <v>73</v>
      </c>
      <c r="BF11" t="s">
        <v>73</v>
      </c>
      <c r="BG11" t="s">
        <v>73</v>
      </c>
      <c r="BH11" t="s">
        <v>73</v>
      </c>
      <c r="BI11" t="s">
        <v>73</v>
      </c>
      <c r="BJ11" t="s">
        <v>73</v>
      </c>
      <c r="BL11" t="s">
        <v>73</v>
      </c>
      <c r="BM11" t="s">
        <v>73</v>
      </c>
      <c r="BN11" t="s">
        <v>73</v>
      </c>
      <c r="BO11" t="s">
        <v>73</v>
      </c>
      <c r="BP11" t="s">
        <v>73</v>
      </c>
      <c r="BQ11" s="1" t="s">
        <v>73</v>
      </c>
      <c r="BR11" s="1"/>
      <c r="BS11" s="1" t="s">
        <v>73</v>
      </c>
      <c r="BT11" s="1" t="s">
        <v>73</v>
      </c>
      <c r="BU11" s="1" t="s">
        <v>73</v>
      </c>
      <c r="BV11" s="1" t="s">
        <v>73</v>
      </c>
      <c r="BW11" s="1"/>
      <c r="BX11"/>
      <c r="BY11"/>
      <c r="BZ11"/>
      <c r="CA11"/>
      <c r="CB11"/>
      <c r="CC11"/>
      <c r="CD11"/>
    </row>
    <row r="12" spans="1:85" ht="17" thickBot="1" x14ac:dyDescent="0.25">
      <c r="A12" t="s">
        <v>136</v>
      </c>
      <c r="B12" t="s">
        <v>183</v>
      </c>
      <c r="C12" t="s">
        <v>137</v>
      </c>
      <c r="D12" s="1" t="s">
        <v>73</v>
      </c>
      <c r="E12" s="1" t="s">
        <v>72</v>
      </c>
      <c r="F12" s="1" t="s">
        <v>72</v>
      </c>
      <c r="G12" s="1" t="s">
        <v>73</v>
      </c>
      <c r="J12"/>
      <c r="K12"/>
      <c r="L12"/>
      <c r="M12"/>
      <c r="Q12" s="1" t="s">
        <v>73</v>
      </c>
      <c r="R12" s="1" t="s">
        <v>73</v>
      </c>
      <c r="S12" s="1" t="s">
        <v>73</v>
      </c>
      <c r="Z12" s="1" t="s">
        <v>73</v>
      </c>
      <c r="AA12" s="1" t="s">
        <v>73</v>
      </c>
      <c r="AB12"/>
      <c r="AD12"/>
      <c r="AG12"/>
      <c r="AH12"/>
      <c r="AI12"/>
      <c r="AJ12"/>
      <c r="AK12" s="1" t="s">
        <v>73</v>
      </c>
      <c r="AL12" s="1" t="s">
        <v>72</v>
      </c>
      <c r="AM12">
        <v>6</v>
      </c>
      <c r="AN12" s="1" t="s">
        <v>72</v>
      </c>
      <c r="AO12">
        <v>4</v>
      </c>
      <c r="AP12" s="1" t="s">
        <v>73</v>
      </c>
      <c r="AQ12"/>
      <c r="AR12" s="1" t="s">
        <v>72</v>
      </c>
      <c r="AS12">
        <v>6</v>
      </c>
      <c r="AT12" t="s">
        <v>73</v>
      </c>
      <c r="AW12" s="1">
        <v>25</v>
      </c>
      <c r="AX12" s="1">
        <v>1</v>
      </c>
      <c r="AY12" t="s">
        <v>73</v>
      </c>
      <c r="AZ12" t="s">
        <v>73</v>
      </c>
      <c r="BA12" s="61" t="s">
        <v>73</v>
      </c>
      <c r="BB12">
        <v>1812</v>
      </c>
      <c r="BC12" s="87">
        <v>45630.948182870372</v>
      </c>
      <c r="BD12" s="87">
        <v>45631.711759259262</v>
      </c>
      <c r="BE12" t="s">
        <v>73</v>
      </c>
      <c r="BF12" t="s">
        <v>73</v>
      </c>
      <c r="BG12" t="s">
        <v>73</v>
      </c>
      <c r="BH12" t="s">
        <v>73</v>
      </c>
      <c r="BI12" t="s">
        <v>73</v>
      </c>
      <c r="BJ12" t="s">
        <v>73</v>
      </c>
      <c r="BL12" t="s">
        <v>73</v>
      </c>
      <c r="BM12" t="s">
        <v>73</v>
      </c>
      <c r="BN12" t="s">
        <v>73</v>
      </c>
      <c r="BO12" t="s">
        <v>73</v>
      </c>
      <c r="BP12" t="s">
        <v>73</v>
      </c>
      <c r="BQ12" s="1" t="s">
        <v>73</v>
      </c>
      <c r="BR12" s="1"/>
      <c r="BS12" s="1" t="s">
        <v>73</v>
      </c>
      <c r="BT12" s="1" t="s">
        <v>73</v>
      </c>
      <c r="BU12" s="1" t="s">
        <v>73</v>
      </c>
      <c r="BV12" s="1" t="s">
        <v>73</v>
      </c>
      <c r="BW12" s="1"/>
      <c r="BX12"/>
      <c r="BY12"/>
      <c r="BZ12"/>
      <c r="CA12"/>
      <c r="CB12"/>
      <c r="CC12"/>
      <c r="CD12"/>
    </row>
    <row r="13" spans="1:85" ht="16" thickTop="1" x14ac:dyDescent="0.2">
      <c r="A13" t="s">
        <v>79</v>
      </c>
      <c r="C13">
        <f>SUBTOTAL(103,KDRvNB[Naam vereniging])</f>
        <v>6</v>
      </c>
      <c r="D13" s="1">
        <f>COUNTIF(KDRvNB[Delegatie],"x")</f>
        <v>1</v>
      </c>
      <c r="E13" s="16">
        <f>COUNTIF(KDRvNB[Muziekkorps bij mars en defilé],"x")</f>
        <v>6</v>
      </c>
      <c r="F13" s="16">
        <f>COUNTIF(KDRvNB[Deeln. jeugdkoningschieten],"x")</f>
        <v>4</v>
      </c>
      <c r="G13" s="16">
        <f>COUNTIF(KDRvNB[Maj. Senioren jureren bij mars],"x")</f>
        <v>0</v>
      </c>
      <c r="H13" s="16">
        <f>COUNTIF(KDRvNB[Maj. Jeugd jureren bij mars],"x")</f>
        <v>0</v>
      </c>
      <c r="I13" s="1">
        <f>SUBTOTAL(103,KDRvNB[Korps senioren])</f>
        <v>3</v>
      </c>
      <c r="J13" s="1">
        <f>SUBTOTAL(103,KDRvNB[Junioren korps 1])</f>
        <v>1</v>
      </c>
      <c r="K13" s="1">
        <f>SUBTOTAL(103,KDRvNB[Junioren korps 2])</f>
        <v>0</v>
      </c>
      <c r="L13" s="1">
        <f>SUBTOTAL(103,KDRvNB[Aspiranten korps 1])</f>
        <v>1</v>
      </c>
      <c r="M13" s="1">
        <f>SUBTOTAL(103,KDRvNB[Aspiranten korps 2])</f>
        <v>0</v>
      </c>
      <c r="N13" s="1">
        <f>SUBTOTAL(103,KDRvNB[Acrobatisch senioren])</f>
        <v>1</v>
      </c>
      <c r="O13" s="1">
        <f>SUBTOTAL(103,KDRvNB[Acrobatisch junioren])</f>
        <v>0</v>
      </c>
      <c r="P13" s="1">
        <f>SUBTOTAL(103,KDRvNB[Acrobatisch aspiranten])</f>
        <v>0</v>
      </c>
      <c r="T13" s="79">
        <f>SUBTOTAL(109,KDRvNB[Senioren indiv.])</f>
        <v>8</v>
      </c>
      <c r="U13" s="79">
        <f>SUBTOTAL(109,KDRvNB[Junioren indiv.])</f>
        <v>5</v>
      </c>
      <c r="V13" s="1">
        <f>SUBTOTAL(109,KDRvNB[Aspiranten indiv.])</f>
        <v>5</v>
      </c>
      <c r="W13" s="1">
        <f>SUBTOTAL(109,KDRvNB[Sen. ind opgegeven namen])</f>
        <v>8</v>
      </c>
      <c r="X13" s="1">
        <f>SUBTOTAL(109,KDRvNB[Jun. ind opgegeven namen])</f>
        <v>5</v>
      </c>
      <c r="Y13" s="1">
        <f>SUBTOTAL(109,KDRvNB[Asp. ind opgegeven namen])</f>
        <v>5</v>
      </c>
      <c r="Z13" s="16">
        <f>COUNTIF(KDRvNB[Hoofdkorps],"x")</f>
        <v>2</v>
      </c>
      <c r="AA13" s="120">
        <f>COUNTIF(KDRvNB[2e korps],"x")</f>
        <v>0</v>
      </c>
      <c r="AB13" s="1">
        <f>SUBTOTAL(109,KDRvNB[Groepen, teams, ensembles en duo''s])</f>
        <v>0</v>
      </c>
      <c r="AC13" s="1">
        <f>SUBTOTAL(109,KDRvNB[Senioren])</f>
        <v>0</v>
      </c>
      <c r="AD13" s="1">
        <f>SUBTOTAL(109,KDRvNB[Jong volwassene])</f>
        <v>0</v>
      </c>
      <c r="AE13" s="1">
        <f>SUBTOTAL(109,KDRvNB[Junioren])</f>
        <v>0</v>
      </c>
      <c r="AF13" s="1">
        <f>SUBTOTAL(109,KDRvNB[Aspiranten])</f>
        <v>0</v>
      </c>
      <c r="AG13" s="1">
        <f>SUBTOTAL(109,KDRvNB[Opgegeven senioren])</f>
        <v>0</v>
      </c>
      <c r="AH13" s="1">
        <f>SUBTOTAL(109,KDRvNB[Opgegeven jong volwassene])</f>
        <v>0</v>
      </c>
      <c r="AI13" s="1">
        <f>SUBTOTAL(109,KDRvNB[Opgegeven junioren])</f>
        <v>0</v>
      </c>
      <c r="AJ13" s="1">
        <f>SUBTOTAL(109,KDRvNB[Opgegeven aspiranten])</f>
        <v>0</v>
      </c>
      <c r="AK13" s="1">
        <f>COUNTIF(KDRvNB[Marketentsters],"x")</f>
        <v>1</v>
      </c>
      <c r="AL13" s="1">
        <f>COUNTIF(KDRvNB[Luchtgeweer],"x")</f>
        <v>3</v>
      </c>
      <c r="AM13" s="1">
        <f>SUBTOTAL(109,KDRvNB[Aantal luchtgeweerschutters])</f>
        <v>18</v>
      </c>
      <c r="AN13" s="1">
        <f>COUNTIF(KDRvNB[Luchtpistool],"x")</f>
        <v>3</v>
      </c>
      <c r="AO13" s="1">
        <f>SUBTOTAL(109,KDRvNB[Aantal luchtpistoolschutters])</f>
        <v>16</v>
      </c>
      <c r="AP13" s="1">
        <f>COUNTIF(KDRvNB[Handboog],"x")</f>
        <v>0</v>
      </c>
      <c r="AQ13" s="1">
        <f>SUBTOTAL(109,KDRvNB[Aantal handboogschutters])</f>
        <v>0</v>
      </c>
      <c r="AR13" s="1">
        <f>COUNTIF(KDRvNB[Kruisboog],"x")</f>
        <v>3</v>
      </c>
      <c r="AS13" s="1">
        <f>SUBTOTAL(109,KDRvNB[Aantal kruisboogschutters])</f>
        <v>15</v>
      </c>
      <c r="AT13" s="1">
        <f>COUNTIF(KDRvNB[Luchtgeweer jeugd niet ouder dan 17 jaar.],"x")</f>
        <v>1</v>
      </c>
      <c r="AU13" s="1">
        <f>SUBTOTAL(109,KDRvNB[Aantal korpsen])</f>
        <v>3</v>
      </c>
      <c r="AV13" s="1">
        <f>SUBTOTAL(109,KDRvNB[Opgegeven jeugdkorpsen LG])</f>
        <v>0</v>
      </c>
      <c r="AW13" s="1">
        <f>SUBTOTAL(109,KDRvNB[Totaal aantal deelnemers])</f>
        <v>219</v>
      </c>
      <c r="AX13" s="1">
        <f>SUBTOTAL(109,KDRvNB[Waarvan aantal jeugd (t/m 15 jaar)])</f>
        <v>52</v>
      </c>
      <c r="AY13" s="86">
        <f>COUNTIF(KDRvNB[Kanon etc.],"x")</f>
        <v>0</v>
      </c>
      <c r="AZ13" s="1">
        <f>COUNTIF(KDRvNB[Paarden en/of koetsen],"x")</f>
        <v>0</v>
      </c>
      <c r="BA13" s="63"/>
      <c r="BB13" s="1"/>
      <c r="BC13" s="1"/>
      <c r="BD13" s="1"/>
      <c r="BE13" s="1"/>
      <c r="BF13" s="1"/>
      <c r="BG13" s="1"/>
      <c r="BH13" s="1"/>
      <c r="BI13" s="1"/>
      <c r="BJ13" s="1"/>
      <c r="BK13" s="1"/>
      <c r="BL13" s="1"/>
      <c r="BM13" s="1"/>
      <c r="BN13" s="1"/>
      <c r="BO13" s="1"/>
      <c r="BP13" s="1"/>
      <c r="BQ13" s="1"/>
      <c r="BR13" s="1"/>
      <c r="BS13" s="1"/>
      <c r="BT13" s="1"/>
      <c r="BU13" s="1"/>
      <c r="BV13" s="1"/>
      <c r="BW13" s="1">
        <f>SUBTOTAL(109,KDRvNB[Aantal opgegeven majorettes])</f>
        <v>0</v>
      </c>
      <c r="BX13"/>
      <c r="BY13"/>
      <c r="BZ13"/>
      <c r="CA13"/>
      <c r="CB13"/>
      <c r="CC13"/>
      <c r="CD13"/>
    </row>
    <row r="14" spans="1:85" x14ac:dyDescent="0.2">
      <c r="BX14"/>
      <c r="BY14"/>
      <c r="BZ14"/>
      <c r="CA14"/>
      <c r="CB14"/>
      <c r="CC14"/>
      <c r="CD14"/>
    </row>
    <row r="15" spans="1:85" x14ac:dyDescent="0.2">
      <c r="D15" s="70"/>
      <c r="BX15"/>
      <c r="BY15"/>
      <c r="BZ15"/>
      <c r="CA15"/>
      <c r="CB15"/>
      <c r="CC15"/>
      <c r="CD15"/>
    </row>
    <row r="16" spans="1:85" x14ac:dyDescent="0.2">
      <c r="BX16"/>
      <c r="BY16"/>
      <c r="BZ16"/>
      <c r="CA16"/>
      <c r="CB16"/>
      <c r="CC16"/>
      <c r="CD16"/>
    </row>
    <row r="17" spans="76:82" x14ac:dyDescent="0.2">
      <c r="BX17"/>
      <c r="BY17"/>
      <c r="BZ17"/>
      <c r="CA17"/>
      <c r="CB17"/>
      <c r="CC17"/>
      <c r="CD17"/>
    </row>
    <row r="18" spans="76:82" x14ac:dyDescent="0.2">
      <c r="BX18"/>
      <c r="BY18"/>
      <c r="BZ18"/>
      <c r="CA18"/>
      <c r="CB18"/>
      <c r="CC18"/>
      <c r="CD18"/>
    </row>
    <row r="19" spans="76:82" x14ac:dyDescent="0.2">
      <c r="BX19"/>
      <c r="BY19"/>
      <c r="BZ19"/>
      <c r="CA19"/>
      <c r="CB19"/>
      <c r="CC19"/>
      <c r="CD19"/>
    </row>
    <row r="20" spans="76:82" x14ac:dyDescent="0.2">
      <c r="BX20"/>
      <c r="BY20"/>
      <c r="BZ20"/>
      <c r="CA20"/>
      <c r="CB20"/>
      <c r="CC20"/>
      <c r="CD20"/>
    </row>
    <row r="21" spans="76:82" x14ac:dyDescent="0.2">
      <c r="BX21"/>
      <c r="BY21"/>
      <c r="BZ21"/>
      <c r="CA21"/>
      <c r="CB21"/>
      <c r="CC21"/>
      <c r="CD21"/>
    </row>
    <row r="22" spans="76:82" x14ac:dyDescent="0.2">
      <c r="BX22"/>
      <c r="BY22"/>
      <c r="BZ22"/>
      <c r="CA22"/>
      <c r="CB22"/>
      <c r="CC22"/>
      <c r="CD22"/>
    </row>
    <row r="23" spans="76:82" x14ac:dyDescent="0.2">
      <c r="BX23"/>
      <c r="BY23"/>
      <c r="BZ23"/>
      <c r="CA23"/>
      <c r="CB23"/>
      <c r="CC23"/>
      <c r="CD23"/>
    </row>
  </sheetData>
  <mergeCells count="15">
    <mergeCell ref="A1:BW1"/>
    <mergeCell ref="A2:BW2"/>
    <mergeCell ref="D3:H3"/>
    <mergeCell ref="BL4:BR4"/>
    <mergeCell ref="I3:Y3"/>
    <mergeCell ref="Z3:AA3"/>
    <mergeCell ref="AL3:AV3"/>
    <mergeCell ref="BE3:BR3"/>
    <mergeCell ref="I4:M4"/>
    <mergeCell ref="N4:P4"/>
    <mergeCell ref="Q4:S4"/>
    <mergeCell ref="T4:Y4"/>
    <mergeCell ref="BE4:BK4"/>
    <mergeCell ref="AW3:BD3"/>
    <mergeCell ref="BS3:BW3"/>
  </mergeCells>
  <phoneticPr fontId="2" type="noConversion"/>
  <conditionalFormatting sqref="W6:W12">
    <cfRule type="expression" dxfId="19" priority="1">
      <formula>$T6-$W6&lt;&gt;0</formula>
    </cfRule>
  </conditionalFormatting>
  <conditionalFormatting sqref="X6:X12">
    <cfRule type="expression" dxfId="18" priority="2">
      <formula>$U6-$X6&lt;&gt;0</formula>
    </cfRule>
  </conditionalFormatting>
  <conditionalFormatting sqref="Y6:Y12">
    <cfRule type="expression" dxfId="17" priority="3">
      <formula>$V6-$Y6&lt;&gt;0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911A6-DC29-41D3-89D3-279D4FA48D93}">
  <dimension ref="A1:CJ11"/>
  <sheetViews>
    <sheetView workbookViewId="0">
      <selection activeCell="A6" sqref="A6:BM29"/>
    </sheetView>
  </sheetViews>
  <sheetFormatPr baseColWidth="10" defaultColWidth="9.1640625" defaultRowHeight="15" x14ac:dyDescent="0.2"/>
  <cols>
    <col min="1" max="1" width="10.33203125" bestFit="1" customWidth="1"/>
    <col min="2" max="2" width="8.6640625" bestFit="1" customWidth="1"/>
    <col min="3" max="3" width="16.5" bestFit="1" customWidth="1"/>
    <col min="4" max="9" width="8.5" bestFit="1" customWidth="1"/>
    <col min="10" max="11" width="16.33203125" bestFit="1" customWidth="1"/>
    <col min="12" max="13" width="18" bestFit="1" customWidth="1"/>
    <col min="14" max="14" width="8.5" bestFit="1" customWidth="1"/>
    <col min="15" max="17" width="7.6640625" hidden="1" customWidth="1"/>
    <col min="18" max="23" width="8.5" style="1" bestFit="1" customWidth="1"/>
    <col min="24" max="25" width="8.5" bestFit="1" customWidth="1"/>
    <col min="26" max="27" width="8.5" style="1" bestFit="1" customWidth="1"/>
    <col min="28" max="28" width="32.5" style="1" bestFit="1" customWidth="1"/>
    <col min="29" max="29" width="8.5" style="1" bestFit="1" customWidth="1"/>
    <col min="30" max="30" width="16.33203125" style="1" bestFit="1" customWidth="1"/>
    <col min="31" max="32" width="8.5" style="1" bestFit="1" customWidth="1"/>
    <col min="33" max="33" width="19.6640625" style="1" bestFit="1" customWidth="1"/>
    <col min="34" max="34" width="25.5" style="1" bestFit="1" customWidth="1"/>
    <col min="35" max="35" width="19.5" style="1" bestFit="1" customWidth="1"/>
    <col min="36" max="36" width="21" style="1" bestFit="1" customWidth="1"/>
    <col min="37" max="38" width="8.5" style="1" bestFit="1" customWidth="1"/>
    <col min="39" max="39" width="26.33203125" style="1" bestFit="1" customWidth="1"/>
    <col min="40" max="40" width="8.5" bestFit="1" customWidth="1"/>
    <col min="41" max="41" width="25.83203125" bestFit="1" customWidth="1"/>
    <col min="42" max="42" width="8.5" bestFit="1" customWidth="1"/>
    <col min="43" max="43" width="24.1640625" bestFit="1" customWidth="1"/>
    <col min="44" max="44" width="8.5" style="61" bestFit="1" customWidth="1"/>
    <col min="45" max="45" width="24" bestFit="1" customWidth="1"/>
    <col min="46" max="46" width="36.83203125" bestFit="1" customWidth="1"/>
    <col min="47" max="47" width="15.1640625" bestFit="1" customWidth="1"/>
    <col min="48" max="48" width="25.83203125" bestFit="1" customWidth="1"/>
    <col min="49" max="52" width="8.5" bestFit="1" customWidth="1"/>
    <col min="53" max="53" width="23.6640625" style="1" bestFit="1" customWidth="1"/>
    <col min="54" max="54" width="8.5" bestFit="1" customWidth="1"/>
    <col min="55" max="56" width="15" bestFit="1" customWidth="1"/>
    <col min="57" max="57" width="12.1640625" bestFit="1" customWidth="1"/>
    <col min="58" max="58" width="8.5" bestFit="1" customWidth="1"/>
    <col min="59" max="59" width="19.5" bestFit="1" customWidth="1"/>
    <col min="60" max="60" width="28.83203125" bestFit="1" customWidth="1"/>
    <col min="61" max="75" width="8.5" bestFit="1" customWidth="1"/>
    <col min="76" max="76" width="8" bestFit="1" customWidth="1"/>
    <col min="77" max="77" width="8.5" bestFit="1" customWidth="1"/>
    <col min="78" max="85" width="7.6640625" bestFit="1" customWidth="1"/>
    <col min="86" max="86" width="12.6640625" bestFit="1" customWidth="1"/>
    <col min="87" max="87" width="25" customWidth="1"/>
    <col min="88" max="88" width="15.6640625" bestFit="1" customWidth="1"/>
  </cols>
  <sheetData>
    <row r="1" spans="1:88" ht="27" customHeight="1" x14ac:dyDescent="0.2">
      <c r="A1" s="142" t="s">
        <v>84</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72"/>
      <c r="CI1" s="72"/>
      <c r="CJ1" s="72"/>
    </row>
    <row r="2" spans="1:88" ht="20" thickBot="1" x14ac:dyDescent="0.3">
      <c r="A2" s="143" t="s">
        <v>85</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73"/>
      <c r="CI2" s="73"/>
      <c r="CJ2" s="73"/>
    </row>
    <row r="3" spans="1:88" ht="16" thickBot="1" x14ac:dyDescent="0.25">
      <c r="A3" s="20"/>
      <c r="B3" s="21"/>
      <c r="C3" s="22"/>
      <c r="D3" s="133" t="s">
        <v>1</v>
      </c>
      <c r="E3" s="134"/>
      <c r="F3" s="134"/>
      <c r="G3" s="134"/>
      <c r="H3" s="135"/>
      <c r="I3" s="136" t="s">
        <v>2</v>
      </c>
      <c r="J3" s="137"/>
      <c r="K3" s="137"/>
      <c r="L3" s="137"/>
      <c r="M3" s="137"/>
      <c r="N3" s="137"/>
      <c r="O3" s="137"/>
      <c r="P3" s="137"/>
      <c r="Q3" s="137"/>
      <c r="R3" s="137"/>
      <c r="S3" s="137"/>
      <c r="T3" s="137"/>
      <c r="U3" s="137"/>
      <c r="V3" s="137"/>
      <c r="W3" s="138"/>
      <c r="X3" s="133" t="s">
        <v>3</v>
      </c>
      <c r="Y3" s="135"/>
      <c r="Z3" s="26" t="s">
        <v>4</v>
      </c>
      <c r="AA3" s="150" t="s">
        <v>5</v>
      </c>
      <c r="AB3" s="151"/>
      <c r="AC3" s="151"/>
      <c r="AD3" s="151"/>
      <c r="AE3" s="151"/>
      <c r="AF3" s="152"/>
      <c r="AG3" s="26" t="s">
        <v>6</v>
      </c>
      <c r="AH3" s="133" t="s">
        <v>7</v>
      </c>
      <c r="AI3" s="134"/>
      <c r="AJ3" s="134"/>
      <c r="AK3" s="134"/>
      <c r="AL3" s="134"/>
      <c r="AM3" s="135"/>
      <c r="AN3" s="133" t="s">
        <v>8</v>
      </c>
      <c r="AO3" s="134"/>
      <c r="AP3" s="134"/>
      <c r="AQ3" s="134"/>
      <c r="AR3" s="134"/>
      <c r="AS3" s="134"/>
      <c r="AT3" s="135"/>
      <c r="AU3" s="136" t="s">
        <v>9</v>
      </c>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8"/>
      <c r="CC3" s="150" t="s">
        <v>10</v>
      </c>
      <c r="CD3" s="151"/>
      <c r="CE3" s="151"/>
      <c r="CF3" s="151"/>
      <c r="CG3" s="152"/>
      <c r="CH3" s="74"/>
      <c r="CI3" s="74"/>
      <c r="CJ3" s="74"/>
    </row>
    <row r="4" spans="1:88" ht="16" thickBot="1" x14ac:dyDescent="0.25">
      <c r="A4" s="23"/>
      <c r="B4" s="24"/>
      <c r="C4" s="25"/>
      <c r="D4" s="23"/>
      <c r="E4" s="24"/>
      <c r="F4" s="24"/>
      <c r="G4" s="24"/>
      <c r="H4" s="25"/>
      <c r="I4" s="136" t="s">
        <v>11</v>
      </c>
      <c r="J4" s="137"/>
      <c r="K4" s="138"/>
      <c r="L4" s="136" t="s">
        <v>12</v>
      </c>
      <c r="M4" s="137"/>
      <c r="N4" s="138"/>
      <c r="O4" s="136" t="s">
        <v>13</v>
      </c>
      <c r="P4" s="137"/>
      <c r="Q4" s="138"/>
      <c r="R4" s="136" t="s">
        <v>14</v>
      </c>
      <c r="S4" s="137"/>
      <c r="T4" s="137"/>
      <c r="U4" s="137"/>
      <c r="V4" s="137"/>
      <c r="W4" s="138"/>
      <c r="X4" s="23"/>
      <c r="Y4" s="25"/>
      <c r="Z4" s="27"/>
      <c r="AA4" s="23"/>
      <c r="AB4" s="24"/>
      <c r="AC4" s="24"/>
      <c r="AD4" s="24"/>
      <c r="AE4" s="24"/>
      <c r="AF4" s="25"/>
      <c r="AG4" s="27"/>
      <c r="AH4" s="23"/>
      <c r="AI4" s="24"/>
      <c r="AJ4" s="24"/>
      <c r="AK4" s="24"/>
      <c r="AL4" s="24"/>
      <c r="AM4" s="25"/>
      <c r="AN4" s="23"/>
      <c r="AO4" s="24"/>
      <c r="AP4" s="24"/>
      <c r="AQ4" s="24"/>
      <c r="AR4" s="62"/>
      <c r="AS4" s="24"/>
      <c r="AT4" s="25"/>
      <c r="AU4" s="136" t="s">
        <v>15</v>
      </c>
      <c r="AV4" s="137"/>
      <c r="AW4" s="137"/>
      <c r="AX4" s="137"/>
      <c r="AY4" s="137"/>
      <c r="AZ4" s="137"/>
      <c r="BA4" s="138"/>
      <c r="BB4" s="136" t="s">
        <v>16</v>
      </c>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8"/>
      <c r="CC4" s="17"/>
      <c r="CD4" s="18"/>
      <c r="CE4" s="18"/>
      <c r="CF4" s="18"/>
      <c r="CG4" s="19"/>
      <c r="CH4" s="74"/>
      <c r="CI4" s="74"/>
      <c r="CJ4" s="74"/>
    </row>
    <row r="5" spans="1:88" ht="16" thickBot="1" x14ac:dyDescent="0.25"/>
    <row r="6" spans="1:88" ht="217" x14ac:dyDescent="0.2">
      <c r="A6" s="6" t="s">
        <v>17</v>
      </c>
      <c r="B6" s="51" t="s">
        <v>18</v>
      </c>
      <c r="C6" s="52" t="s">
        <v>19</v>
      </c>
      <c r="D6" s="4" t="s">
        <v>20</v>
      </c>
      <c r="E6" s="4" t="s">
        <v>21</v>
      </c>
      <c r="F6" s="4" t="s">
        <v>22</v>
      </c>
      <c r="G6" s="4" t="s">
        <v>23</v>
      </c>
      <c r="H6" s="4" t="s">
        <v>24</v>
      </c>
      <c r="I6" s="55" t="s">
        <v>25</v>
      </c>
      <c r="J6" t="s">
        <v>126</v>
      </c>
      <c r="K6" t="s">
        <v>127</v>
      </c>
      <c r="L6" t="s">
        <v>128</v>
      </c>
      <c r="M6" t="s">
        <v>129</v>
      </c>
      <c r="N6" s="55" t="s">
        <v>26</v>
      </c>
      <c r="O6" s="53" t="s">
        <v>27</v>
      </c>
      <c r="P6" s="54" t="s">
        <v>28</v>
      </c>
      <c r="Q6" s="55" t="s">
        <v>29</v>
      </c>
      <c r="R6" s="53" t="s">
        <v>30</v>
      </c>
      <c r="S6" s="54" t="s">
        <v>31</v>
      </c>
      <c r="T6" s="55" t="s">
        <v>32</v>
      </c>
      <c r="U6" s="53" t="s">
        <v>33</v>
      </c>
      <c r="V6" s="53" t="s">
        <v>34</v>
      </c>
      <c r="W6" s="56" t="s">
        <v>35</v>
      </c>
      <c r="X6" s="56" t="s">
        <v>36</v>
      </c>
      <c r="Y6" s="57" t="s">
        <v>37</v>
      </c>
      <c r="Z6" s="55" t="s">
        <v>15</v>
      </c>
      <c r="AA6" s="54" t="s">
        <v>16</v>
      </c>
      <c r="AB6" t="s">
        <v>110</v>
      </c>
      <c r="AC6" s="55" t="s">
        <v>38</v>
      </c>
      <c r="AD6" t="s">
        <v>111</v>
      </c>
      <c r="AE6" s="53" t="s">
        <v>39</v>
      </c>
      <c r="AF6" s="53" t="s">
        <v>40</v>
      </c>
      <c r="AG6" t="s">
        <v>112</v>
      </c>
      <c r="AH6" t="s">
        <v>113</v>
      </c>
      <c r="AI6" t="s">
        <v>114</v>
      </c>
      <c r="AJ6" t="s">
        <v>115</v>
      </c>
      <c r="AK6" s="58" t="s">
        <v>41</v>
      </c>
      <c r="AL6" s="55" t="s">
        <v>42</v>
      </c>
      <c r="AM6" t="s">
        <v>122</v>
      </c>
      <c r="AN6" s="53" t="s">
        <v>43</v>
      </c>
      <c r="AO6" t="s">
        <v>123</v>
      </c>
      <c r="AP6" s="53" t="s">
        <v>45</v>
      </c>
      <c r="AQ6" t="s">
        <v>124</v>
      </c>
      <c r="AR6" s="53" t="s">
        <v>44</v>
      </c>
      <c r="AS6" t="s">
        <v>125</v>
      </c>
      <c r="AT6" t="s">
        <v>116</v>
      </c>
      <c r="AU6" t="s">
        <v>117</v>
      </c>
      <c r="AV6" t="s">
        <v>118</v>
      </c>
      <c r="AW6" s="55" t="s">
        <v>46</v>
      </c>
      <c r="AX6" s="53" t="s">
        <v>47</v>
      </c>
      <c r="AY6" s="53" t="s">
        <v>48</v>
      </c>
      <c r="AZ6" s="53" t="s">
        <v>49</v>
      </c>
      <c r="BA6" s="64" t="s">
        <v>50</v>
      </c>
      <c r="BB6" s="53" t="s">
        <v>51</v>
      </c>
      <c r="BC6" s="54" t="s">
        <v>52</v>
      </c>
      <c r="BD6" t="s">
        <v>108</v>
      </c>
      <c r="BE6" s="55" t="s">
        <v>53</v>
      </c>
      <c r="BF6" s="53" t="s">
        <v>54</v>
      </c>
      <c r="BG6" s="53" t="s">
        <v>55</v>
      </c>
      <c r="BH6" s="53" t="s">
        <v>56</v>
      </c>
      <c r="BI6" s="53" t="s">
        <v>57</v>
      </c>
      <c r="BJ6" s="53" t="s">
        <v>58</v>
      </c>
      <c r="BK6" s="54" t="s">
        <v>59</v>
      </c>
      <c r="BL6" s="55" t="s">
        <v>60</v>
      </c>
      <c r="BM6" s="53" t="s">
        <v>61</v>
      </c>
      <c r="BN6" s="53" t="s">
        <v>62</v>
      </c>
      <c r="BO6" s="53" t="s">
        <v>63</v>
      </c>
      <c r="BP6" s="53" t="s">
        <v>64</v>
      </c>
      <c r="BQ6" s="53" t="s">
        <v>65</v>
      </c>
      <c r="BR6" s="54" t="s">
        <v>66</v>
      </c>
      <c r="BS6" s="53" t="s">
        <v>70</v>
      </c>
      <c r="BT6" s="55" t="s">
        <v>67</v>
      </c>
      <c r="BU6" s="53" t="s">
        <v>68</v>
      </c>
      <c r="BV6" s="53" t="s">
        <v>69</v>
      </c>
      <c r="BW6" s="54" t="s">
        <v>71</v>
      </c>
    </row>
    <row r="7" spans="1:88" ht="16" x14ac:dyDescent="0.2">
      <c r="A7" s="15" t="s">
        <v>119</v>
      </c>
      <c r="B7" s="15" t="s">
        <v>184</v>
      </c>
      <c r="C7" s="15" t="s">
        <v>109</v>
      </c>
      <c r="D7" s="15" t="s">
        <v>73</v>
      </c>
      <c r="E7" s="15" t="s">
        <v>72</v>
      </c>
      <c r="F7" s="15" t="s">
        <v>72</v>
      </c>
      <c r="G7" s="15" t="s">
        <v>72</v>
      </c>
      <c r="H7" s="15" t="s">
        <v>74</v>
      </c>
      <c r="I7" s="15">
        <v>6</v>
      </c>
      <c r="J7">
        <v>4</v>
      </c>
      <c r="K7">
        <v>3</v>
      </c>
      <c r="L7">
        <v>4</v>
      </c>
      <c r="N7" s="15"/>
      <c r="O7" s="15"/>
      <c r="P7" s="15"/>
      <c r="Q7" s="15" t="s">
        <v>73</v>
      </c>
      <c r="R7" s="15" t="s">
        <v>73</v>
      </c>
      <c r="S7" s="15" t="s">
        <v>73</v>
      </c>
      <c r="T7" s="16">
        <v>6</v>
      </c>
      <c r="U7" s="16">
        <v>5</v>
      </c>
      <c r="V7" s="16">
        <v>4</v>
      </c>
      <c r="W7" s="16">
        <v>6</v>
      </c>
      <c r="X7" s="16">
        <v>5</v>
      </c>
      <c r="Y7" s="16">
        <v>4</v>
      </c>
      <c r="Z7" s="15" t="s">
        <v>72</v>
      </c>
      <c r="AA7" s="15" t="s">
        <v>73</v>
      </c>
      <c r="AB7">
        <v>1</v>
      </c>
      <c r="AC7" s="16">
        <v>10</v>
      </c>
      <c r="AD7">
        <v>5</v>
      </c>
      <c r="AE7" s="16">
        <v>4</v>
      </c>
      <c r="AF7" s="16">
        <v>3</v>
      </c>
      <c r="AG7">
        <v>10</v>
      </c>
      <c r="AH7">
        <v>5</v>
      </c>
      <c r="AI7">
        <v>4</v>
      </c>
      <c r="AJ7">
        <v>3</v>
      </c>
      <c r="AK7" s="16" t="s">
        <v>72</v>
      </c>
      <c r="AL7" s="16" t="s">
        <v>72</v>
      </c>
      <c r="AM7">
        <v>6</v>
      </c>
      <c r="AN7" s="16" t="s">
        <v>72</v>
      </c>
      <c r="AO7">
        <v>6</v>
      </c>
      <c r="AP7" s="16" t="s">
        <v>72</v>
      </c>
      <c r="AQ7">
        <v>5</v>
      </c>
      <c r="AR7" s="16" t="s">
        <v>72</v>
      </c>
      <c r="AS7">
        <v>6</v>
      </c>
      <c r="AT7" t="s">
        <v>72</v>
      </c>
      <c r="AU7">
        <v>2</v>
      </c>
      <c r="AV7">
        <v>2</v>
      </c>
      <c r="AW7" s="15">
        <v>100</v>
      </c>
      <c r="AX7" s="15">
        <v>25</v>
      </c>
      <c r="AY7" s="15" t="s">
        <v>73</v>
      </c>
      <c r="AZ7" s="15" t="s">
        <v>73</v>
      </c>
      <c r="BA7" s="60" t="s">
        <v>73</v>
      </c>
      <c r="BB7" s="15">
        <v>1804</v>
      </c>
      <c r="BC7" s="59">
        <v>45523.539861111109</v>
      </c>
      <c r="BD7" s="87">
        <v>45527.790335648147</v>
      </c>
      <c r="BE7" s="15" t="s">
        <v>109</v>
      </c>
      <c r="BF7" s="15" t="s">
        <v>78</v>
      </c>
      <c r="BG7" s="15" t="s">
        <v>76</v>
      </c>
      <c r="BH7" s="15" t="s">
        <v>77</v>
      </c>
      <c r="BI7" s="15" t="s">
        <v>120</v>
      </c>
      <c r="BJ7" s="15" t="s">
        <v>121</v>
      </c>
      <c r="BK7" s="16">
        <v>15</v>
      </c>
      <c r="BL7" s="15" t="s">
        <v>73</v>
      </c>
      <c r="BM7" s="15" t="s">
        <v>73</v>
      </c>
      <c r="BN7" s="15" t="s">
        <v>73</v>
      </c>
      <c r="BO7" s="15" t="s">
        <v>73</v>
      </c>
      <c r="BP7" s="15" t="s">
        <v>73</v>
      </c>
      <c r="BQ7" s="15" t="s">
        <v>73</v>
      </c>
      <c r="BR7" s="15"/>
      <c r="BS7" s="15" t="s">
        <v>75</v>
      </c>
      <c r="BT7" s="15" t="s">
        <v>196</v>
      </c>
      <c r="BU7" s="15" t="s">
        <v>197</v>
      </c>
      <c r="BV7" s="15" t="s">
        <v>199</v>
      </c>
      <c r="BW7" s="15">
        <v>9</v>
      </c>
    </row>
    <row r="8" spans="1:88" x14ac:dyDescent="0.2">
      <c r="A8" s="28" t="s">
        <v>79</v>
      </c>
      <c r="B8" s="28"/>
      <c r="C8" s="28">
        <f>SUBTOTAL(103,LJ[Naam vereniging])</f>
        <v>1</v>
      </c>
      <c r="D8" s="29">
        <f>COUNTIF(LJ[Delegatie],"x")</f>
        <v>0</v>
      </c>
      <c r="E8" s="29">
        <f>COUNTIF(LJ[Muziekkorps bij mars en defilé],"x")</f>
        <v>1</v>
      </c>
      <c r="F8" s="29">
        <f>COUNTIF(LJ[Deeln. jeugdkoningschieten],"x")</f>
        <v>1</v>
      </c>
      <c r="G8" s="29">
        <f>COUNTIF(LJ[Maj. Senioren jureren bij mars],"x")</f>
        <v>1</v>
      </c>
      <c r="H8" s="29">
        <f>COUNTIF(LJ[Maj. Jeugd jureren bij mars]," x")</f>
        <v>1</v>
      </c>
      <c r="I8" s="29">
        <f>COUNTIF(LJ[Korps senioren],"x")</f>
        <v>0</v>
      </c>
      <c r="J8" s="29" t="e">
        <f>COUNTIF(#REF!,"x")</f>
        <v>#REF!</v>
      </c>
      <c r="K8" s="29" t="e">
        <f>COUNTIF(#REF!,"x")</f>
        <v>#REF!</v>
      </c>
      <c r="L8" s="29">
        <f>COUNTIF(LJ[Acrobatisch senioren],"x")</f>
        <v>0</v>
      </c>
      <c r="M8" s="29">
        <f>COUNTIF(LJ[Acrobatisch junioren],"x")</f>
        <v>0</v>
      </c>
      <c r="N8" s="29">
        <f>COUNTIF(LJ[Acrobatisch aspiranten],"x")</f>
        <v>0</v>
      </c>
      <c r="O8" s="29">
        <f>COUNTIF(LJ[Show senioren],"x")</f>
        <v>0</v>
      </c>
      <c r="P8" s="29">
        <f>COUNTIF(LJ[Show junioren],"x")</f>
        <v>0</v>
      </c>
      <c r="Q8" s="29">
        <f>COUNTIF(LJ[Show aspiranten],"x")</f>
        <v>0</v>
      </c>
      <c r="R8" s="29">
        <f>SUBTOTAL(109,LJ[Senioren indiv.])</f>
        <v>6</v>
      </c>
      <c r="S8" s="29">
        <f>SUBTOTAL(109,LJ[Junioren indiv.])</f>
        <v>5</v>
      </c>
      <c r="T8" s="29">
        <f>SUBTOTAL(109,LJ[Aspiranten indiv.])</f>
        <v>4</v>
      </c>
      <c r="U8" s="29">
        <f>SUBTOTAL(109,LJ[Sen. ind opgegeven namen])</f>
        <v>6</v>
      </c>
      <c r="V8" s="29">
        <f>SUBTOTAL(109,LJ[Jun. ind opgegeven namen])</f>
        <v>5</v>
      </c>
      <c r="W8" s="29">
        <f>SUBTOTAL(109,LJ[Asp. ind opgegeven namen])</f>
        <v>4</v>
      </c>
      <c r="X8" s="29">
        <f>COUNTIF(LJ[Hoofdkorps],"x")</f>
        <v>1</v>
      </c>
      <c r="Y8" s="29">
        <f>COUNTIF(LJ[2e korps],"x")</f>
        <v>0</v>
      </c>
      <c r="Z8" s="29" t="e">
        <f>SUBTOTAL(109,#REF!)</f>
        <v>#REF!</v>
      </c>
      <c r="AA8" s="29">
        <f>SUBTOTAL(109,LJ[Senioren])</f>
        <v>10</v>
      </c>
      <c r="AB8" s="29">
        <f>SUBTOTAL(109,LJ[Junioren])</f>
        <v>4</v>
      </c>
      <c r="AC8" s="29">
        <f>SUBTOTAL(109,LJ[Aspiranten])</f>
        <v>3</v>
      </c>
      <c r="AD8" s="29" t="e">
        <f>SUBTOTAL(109,#REF!)</f>
        <v>#REF!</v>
      </c>
      <c r="AE8" s="29" t="e">
        <f>SUBTOTAL(109,#REF!)</f>
        <v>#REF!</v>
      </c>
      <c r="AF8" s="29" t="e">
        <f>SUBTOTAL(109,#REF!)</f>
        <v>#REF!</v>
      </c>
      <c r="AG8" s="29">
        <f>COUNTIF(LJ[Marketentsters],"x")</f>
        <v>1</v>
      </c>
      <c r="AH8" s="29">
        <f>COUNTIF(LJ[Luchtgeweer],"x")</f>
        <v>1</v>
      </c>
      <c r="AI8" s="29">
        <f>COUNTIF(LJ[Luchtpistool],"x")</f>
        <v>1</v>
      </c>
      <c r="AJ8" s="29">
        <f>COUNTIF(LJ[Kruisboog],"x")</f>
        <v>1</v>
      </c>
      <c r="AK8" s="29">
        <f>COUNTIF(LJ[Handboog],"x")</f>
        <v>1</v>
      </c>
      <c r="AL8" s="30" t="e">
        <f>COUNTIF(#REF!,"x")</f>
        <v>#REF!</v>
      </c>
      <c r="AM8" s="30" t="e">
        <f>SUBTOTAL(109,#REF!)</f>
        <v>#REF!</v>
      </c>
      <c r="AN8" s="29">
        <f>SUBTOTAL(109,LJ[Totaal aantal deelnemers])</f>
        <v>100</v>
      </c>
      <c r="AO8" s="31">
        <f>SUBTOTAL(109,LJ[Waarvan aantal jeugd (t/m 15 jaar)])</f>
        <v>25</v>
      </c>
      <c r="AP8" s="29"/>
      <c r="AQ8" s="29"/>
      <c r="AR8" s="65"/>
      <c r="AS8" s="29"/>
      <c r="AT8" s="29"/>
      <c r="AU8" s="28"/>
      <c r="AV8" s="28"/>
      <c r="AW8" s="28"/>
      <c r="AX8" s="28"/>
      <c r="AY8" s="28"/>
      <c r="AZ8" s="28"/>
      <c r="BA8" s="29"/>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9"/>
      <c r="CG8" s="29">
        <f>SUBTOTAL(109,LJ[Aantal opgegeven majorettes])</f>
        <v>9</v>
      </c>
      <c r="CH8" s="75"/>
      <c r="CI8" s="75"/>
      <c r="CJ8" s="75"/>
    </row>
    <row r="10" spans="1:88" x14ac:dyDescent="0.2">
      <c r="C10" s="32"/>
      <c r="D10" s="1"/>
    </row>
    <row r="11" spans="1:88" x14ac:dyDescent="0.2">
      <c r="C11" s="32"/>
      <c r="D11" s="70"/>
    </row>
  </sheetData>
  <mergeCells count="16">
    <mergeCell ref="I4:K4"/>
    <mergeCell ref="A1:CG1"/>
    <mergeCell ref="A2:CG2"/>
    <mergeCell ref="AN3:AT3"/>
    <mergeCell ref="D3:H3"/>
    <mergeCell ref="I3:W3"/>
    <mergeCell ref="X3:Y3"/>
    <mergeCell ref="AA3:AF3"/>
    <mergeCell ref="AH3:AM3"/>
    <mergeCell ref="L4:N4"/>
    <mergeCell ref="O4:Q4"/>
    <mergeCell ref="R4:W4"/>
    <mergeCell ref="AU3:CB3"/>
    <mergeCell ref="CC3:CG3"/>
    <mergeCell ref="AU4:BA4"/>
    <mergeCell ref="BB4:CB4"/>
  </mergeCells>
  <phoneticPr fontId="2" type="noConversion"/>
  <conditionalFormatting sqref="W6:W7">
    <cfRule type="expression" dxfId="16" priority="4">
      <formula>$T6-$W6&lt;&gt;0</formula>
    </cfRule>
  </conditionalFormatting>
  <conditionalFormatting sqref="X6:X7">
    <cfRule type="expression" dxfId="15" priority="5">
      <formula>$U6-$X6&lt;&gt;0</formula>
    </cfRule>
  </conditionalFormatting>
  <conditionalFormatting sqref="Y6:Y7">
    <cfRule type="expression" dxfId="14" priority="6">
      <formula>$V6-$Y6&lt;&gt;0</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42596-4F98-4B71-A6F6-3C3FF5BF23D8}">
  <dimension ref="A1:EV39"/>
  <sheetViews>
    <sheetView zoomScale="110" zoomScaleNormal="110" workbookViewId="0">
      <pane xSplit="3" ySplit="6" topLeftCell="D7" activePane="bottomRight" state="frozen"/>
      <selection pane="topRight" activeCell="D1" sqref="D1"/>
      <selection pane="bottomLeft" activeCell="A7" sqref="A7"/>
      <selection pane="bottomRight" activeCell="BS3" sqref="BS3:BW4"/>
    </sheetView>
  </sheetViews>
  <sheetFormatPr baseColWidth="10" defaultColWidth="9.1640625" defaultRowHeight="15" x14ac:dyDescent="0.2"/>
  <cols>
    <col min="1" max="1" width="10.33203125" bestFit="1" customWidth="1"/>
    <col min="2" max="2" width="8.6640625" bestFit="1" customWidth="1"/>
    <col min="3" max="3" width="40.6640625" bestFit="1" customWidth="1"/>
    <col min="4" max="4" width="3.5" bestFit="1" customWidth="1"/>
    <col min="5" max="16" width="8.5" bestFit="1" customWidth="1"/>
    <col min="17" max="17" width="8.33203125" hidden="1" customWidth="1"/>
    <col min="18" max="19" width="7.6640625" hidden="1" customWidth="1"/>
    <col min="20" max="26" width="8.5" bestFit="1" customWidth="1"/>
    <col min="27" max="27" width="7.6640625" hidden="1" customWidth="1"/>
    <col min="28" max="32" width="8.5" bestFit="1" customWidth="1"/>
    <col min="33" max="36" width="3.5" bestFit="1" customWidth="1"/>
    <col min="37" max="38" width="8.5" bestFit="1" customWidth="1"/>
    <col min="39" max="39" width="8.5" style="1" bestFit="1" customWidth="1"/>
    <col min="40" max="40" width="8.5" bestFit="1" customWidth="1"/>
    <col min="41" max="41" width="8.5" style="1" bestFit="1" customWidth="1"/>
    <col min="42" max="42" width="8.5" bestFit="1" customWidth="1"/>
    <col min="43" max="43" width="8.5" style="1" bestFit="1" customWidth="1"/>
    <col min="44" max="44" width="8.5" bestFit="1" customWidth="1"/>
    <col min="45" max="45" width="8.5" style="1" bestFit="1" customWidth="1"/>
    <col min="46" max="47" width="8.5" bestFit="1" customWidth="1"/>
    <col min="48" max="48" width="3.5" bestFit="1" customWidth="1"/>
    <col min="49" max="49" width="8.5" style="61" bestFit="1" customWidth="1"/>
    <col min="50" max="52" width="8.5" bestFit="1" customWidth="1"/>
    <col min="53" max="53" width="40.1640625" style="70" bestFit="1" customWidth="1"/>
    <col min="54" max="54" width="8.5" bestFit="1" customWidth="1"/>
    <col min="55" max="56" width="15" bestFit="1" customWidth="1"/>
    <col min="57" max="57" width="40.6640625" bestFit="1" customWidth="1"/>
    <col min="58" max="58" width="24.33203125" bestFit="1" customWidth="1"/>
    <col min="59" max="60" width="31" bestFit="1" customWidth="1"/>
    <col min="61" max="61" width="12.83203125" bestFit="1" customWidth="1"/>
    <col min="62" max="62" width="17.83203125" bestFit="1" customWidth="1"/>
    <col min="63" max="63" width="8.5" bestFit="1" customWidth="1"/>
    <col min="64" max="70" width="7.6640625" hidden="1" customWidth="1"/>
    <col min="71" max="71" width="8.5" bestFit="1" customWidth="1"/>
    <col min="72" max="72" width="28.6640625" bestFit="1" customWidth="1"/>
    <col min="73" max="73" width="27.1640625" bestFit="1" customWidth="1"/>
    <col min="74" max="74" width="22.83203125" bestFit="1" customWidth="1"/>
    <col min="75" max="75" width="8.5" bestFit="1" customWidth="1"/>
    <col min="76" max="76" width="39.33203125" bestFit="1" customWidth="1"/>
    <col min="77" max="77" width="42" bestFit="1" customWidth="1"/>
    <col min="78" max="78" width="35.6640625" bestFit="1" customWidth="1"/>
    <col min="79" max="80" width="7.6640625" bestFit="1" customWidth="1"/>
    <col min="81" max="81" width="10.1640625" bestFit="1" customWidth="1"/>
    <col min="86" max="118" width="9.1640625" style="1"/>
    <col min="119" max="120" width="9.1640625" style="5"/>
    <col min="121" max="124" width="9.1640625" style="1"/>
    <col min="125" max="125" width="9.1640625" style="61"/>
    <col min="126" max="127" width="9.1640625" style="1"/>
    <col min="145" max="152" width="9.1640625" style="1"/>
  </cols>
  <sheetData>
    <row r="1" spans="1:152" ht="19" x14ac:dyDescent="0.2">
      <c r="A1" s="142" t="s">
        <v>86</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row>
    <row r="2" spans="1:152" ht="20" thickBot="1" x14ac:dyDescent="0.3">
      <c r="A2" s="143" t="s">
        <v>143</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row>
    <row r="3" spans="1:152" ht="16" thickBot="1" x14ac:dyDescent="0.25">
      <c r="A3" s="20"/>
      <c r="B3" s="21"/>
      <c r="C3" s="22"/>
      <c r="D3" s="133" t="s">
        <v>1</v>
      </c>
      <c r="E3" s="134"/>
      <c r="F3" s="134"/>
      <c r="G3" s="134"/>
      <c r="H3" s="135"/>
      <c r="I3" s="136" t="s">
        <v>2</v>
      </c>
      <c r="J3" s="137"/>
      <c r="K3" s="137"/>
      <c r="L3" s="137"/>
      <c r="M3" s="137"/>
      <c r="N3" s="137"/>
      <c r="O3" s="137"/>
      <c r="P3" s="137"/>
      <c r="Q3" s="137"/>
      <c r="R3" s="137"/>
      <c r="S3" s="137"/>
      <c r="T3" s="137"/>
      <c r="U3" s="137"/>
      <c r="V3" s="137"/>
      <c r="W3" s="137"/>
      <c r="X3" s="137"/>
      <c r="Y3" s="138"/>
      <c r="Z3" s="133" t="s">
        <v>3</v>
      </c>
      <c r="AA3" s="135"/>
      <c r="AB3" s="26" t="s">
        <v>4</v>
      </c>
      <c r="AC3" s="95" t="s">
        <v>5</v>
      </c>
      <c r="AD3" s="96"/>
      <c r="AE3" s="96"/>
      <c r="AF3" s="96"/>
      <c r="AG3" s="96"/>
      <c r="AH3" s="96"/>
      <c r="AI3" s="96"/>
      <c r="AJ3" s="97"/>
      <c r="AK3" s="26" t="s">
        <v>6</v>
      </c>
      <c r="AL3" s="133" t="s">
        <v>7</v>
      </c>
      <c r="AM3" s="134"/>
      <c r="AN3" s="134"/>
      <c r="AO3" s="134"/>
      <c r="AP3" s="134"/>
      <c r="AQ3" s="134"/>
      <c r="AR3" s="134"/>
      <c r="AS3" s="134"/>
      <c r="AT3" s="134"/>
      <c r="AU3" s="134"/>
      <c r="AV3" s="135"/>
      <c r="AW3" s="133" t="s">
        <v>8</v>
      </c>
      <c r="AX3" s="134"/>
      <c r="AY3" s="134"/>
      <c r="AZ3" s="134"/>
      <c r="BA3" s="134"/>
      <c r="BB3" s="134"/>
      <c r="BC3" s="134"/>
      <c r="BD3" s="135"/>
      <c r="BE3" s="136" t="s">
        <v>9</v>
      </c>
      <c r="BF3" s="137"/>
      <c r="BG3" s="137"/>
      <c r="BH3" s="137"/>
      <c r="BI3" s="137"/>
      <c r="BJ3" s="137"/>
      <c r="BK3" s="137"/>
      <c r="BL3" s="137"/>
      <c r="BM3" s="137"/>
      <c r="BN3" s="137"/>
      <c r="BO3" s="137"/>
      <c r="BP3" s="137"/>
      <c r="BQ3" s="137"/>
      <c r="BR3" s="137"/>
      <c r="BS3" s="139" t="s">
        <v>10</v>
      </c>
      <c r="BT3" s="140"/>
      <c r="BU3" s="140"/>
      <c r="BV3" s="140"/>
      <c r="BW3" s="141"/>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EO3"/>
      <c r="EP3"/>
      <c r="EQ3"/>
      <c r="ER3"/>
      <c r="ES3"/>
      <c r="ET3"/>
      <c r="EU3"/>
      <c r="EV3"/>
    </row>
    <row r="4" spans="1:152" ht="16" thickBot="1" x14ac:dyDescent="0.25">
      <c r="A4" s="23"/>
      <c r="B4" s="24"/>
      <c r="C4" s="25"/>
      <c r="D4" s="23"/>
      <c r="E4" s="24"/>
      <c r="F4" s="24"/>
      <c r="G4" s="24"/>
      <c r="H4" s="25"/>
      <c r="I4" s="136" t="s">
        <v>11</v>
      </c>
      <c r="J4" s="137"/>
      <c r="K4" s="137"/>
      <c r="L4" s="137"/>
      <c r="M4" s="138"/>
      <c r="N4" s="136" t="s">
        <v>88</v>
      </c>
      <c r="O4" s="137"/>
      <c r="P4" s="138"/>
      <c r="Q4" s="136" t="s">
        <v>13</v>
      </c>
      <c r="R4" s="137"/>
      <c r="S4" s="138"/>
      <c r="T4" s="136" t="s">
        <v>14</v>
      </c>
      <c r="U4" s="137"/>
      <c r="V4" s="137"/>
      <c r="W4" s="137"/>
      <c r="X4" s="137"/>
      <c r="Y4" s="138"/>
      <c r="Z4" s="23"/>
      <c r="AA4" s="25"/>
      <c r="AB4" s="27"/>
      <c r="AC4" s="23"/>
      <c r="AD4" s="24"/>
      <c r="AE4" s="24"/>
      <c r="AF4" s="24"/>
      <c r="AG4" s="24"/>
      <c r="AH4" s="24"/>
      <c r="AI4" s="24"/>
      <c r="AJ4" s="25"/>
      <c r="AK4" s="27"/>
      <c r="AL4" s="23"/>
      <c r="AM4" s="24"/>
      <c r="AN4" s="24"/>
      <c r="AO4" s="24"/>
      <c r="AP4" s="24"/>
      <c r="AQ4" s="24"/>
      <c r="AR4" s="24"/>
      <c r="AS4" s="24"/>
      <c r="AT4" s="24"/>
      <c r="AU4" s="24"/>
      <c r="AV4" s="25"/>
      <c r="AW4" s="23"/>
      <c r="AX4" s="24"/>
      <c r="AY4" s="24"/>
      <c r="AZ4" s="24"/>
      <c r="BA4" s="108"/>
      <c r="BB4" s="24"/>
      <c r="BC4" s="24"/>
      <c r="BD4" s="25"/>
      <c r="BE4" s="136" t="s">
        <v>15</v>
      </c>
      <c r="BF4" s="137"/>
      <c r="BG4" s="137"/>
      <c r="BH4" s="137"/>
      <c r="BI4" s="137"/>
      <c r="BJ4" s="137"/>
      <c r="BK4" s="138"/>
      <c r="BL4" s="136" t="s">
        <v>16</v>
      </c>
      <c r="BM4" s="137"/>
      <c r="BN4" s="137"/>
      <c r="BO4" s="137"/>
      <c r="BP4" s="137"/>
      <c r="BQ4" s="137"/>
      <c r="BR4" s="138"/>
      <c r="BS4" s="125"/>
      <c r="BT4" s="99"/>
      <c r="BU4" s="99"/>
      <c r="BV4" s="99"/>
      <c r="BW4" s="100"/>
      <c r="BX4" s="34"/>
      <c r="BY4" s="3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EO4"/>
      <c r="EP4"/>
      <c r="EQ4"/>
      <c r="ER4"/>
      <c r="ES4"/>
      <c r="ET4"/>
      <c r="EU4"/>
      <c r="EV4"/>
    </row>
    <row r="5" spans="1:152" ht="6.75" hidden="1" customHeight="1" x14ac:dyDescent="0.2">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N5" s="1"/>
      <c r="AP5" s="1"/>
      <c r="AR5" s="63"/>
      <c r="AT5" s="1"/>
      <c r="AU5" s="1"/>
      <c r="AV5" s="1"/>
      <c r="AW5" s="63"/>
      <c r="AX5" s="1"/>
      <c r="AY5" s="1"/>
      <c r="AZ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EO5"/>
      <c r="EP5"/>
      <c r="EQ5"/>
      <c r="ER5"/>
      <c r="ES5"/>
      <c r="ET5"/>
      <c r="EU5"/>
      <c r="EV5"/>
    </row>
    <row r="6" spans="1:152" s="2" customFormat="1" ht="218" thickBot="1" x14ac:dyDescent="0.25">
      <c r="A6" s="6" t="s">
        <v>17</v>
      </c>
      <c r="B6" s="7" t="s">
        <v>18</v>
      </c>
      <c r="C6" s="8" t="s">
        <v>19</v>
      </c>
      <c r="D6" s="3" t="s">
        <v>20</v>
      </c>
      <c r="E6" s="4" t="s">
        <v>21</v>
      </c>
      <c r="F6" s="4" t="s">
        <v>22</v>
      </c>
      <c r="G6" s="4" t="s">
        <v>23</v>
      </c>
      <c r="H6" s="4" t="s">
        <v>24</v>
      </c>
      <c r="I6" s="9" t="s">
        <v>25</v>
      </c>
      <c r="J6" s="10" t="s">
        <v>126</v>
      </c>
      <c r="K6" s="10" t="s">
        <v>127</v>
      </c>
      <c r="L6" s="10" t="s">
        <v>128</v>
      </c>
      <c r="M6" s="11" t="s">
        <v>129</v>
      </c>
      <c r="N6" s="10" t="s">
        <v>26</v>
      </c>
      <c r="O6" s="10" t="s">
        <v>27</v>
      </c>
      <c r="P6" s="11" t="s">
        <v>28</v>
      </c>
      <c r="Q6" s="9" t="s">
        <v>29</v>
      </c>
      <c r="R6" s="10" t="s">
        <v>30</v>
      </c>
      <c r="S6" s="11" t="s">
        <v>31</v>
      </c>
      <c r="T6" s="9" t="s">
        <v>32</v>
      </c>
      <c r="U6" s="10" t="s">
        <v>33</v>
      </c>
      <c r="V6" s="10" t="s">
        <v>34</v>
      </c>
      <c r="W6" s="12" t="s">
        <v>35</v>
      </c>
      <c r="X6" s="12" t="s">
        <v>36</v>
      </c>
      <c r="Y6" s="13" t="s">
        <v>37</v>
      </c>
      <c r="Z6" s="9" t="s">
        <v>15</v>
      </c>
      <c r="AA6" s="11" t="s">
        <v>16</v>
      </c>
      <c r="AB6" s="10" t="s">
        <v>110</v>
      </c>
      <c r="AC6" s="9" t="s">
        <v>38</v>
      </c>
      <c r="AD6" s="10" t="s">
        <v>111</v>
      </c>
      <c r="AE6" s="10" t="s">
        <v>39</v>
      </c>
      <c r="AF6" s="10" t="s">
        <v>40</v>
      </c>
      <c r="AG6" s="94" t="s">
        <v>112</v>
      </c>
      <c r="AH6" s="94" t="s">
        <v>113</v>
      </c>
      <c r="AI6" s="94" t="s">
        <v>114</v>
      </c>
      <c r="AJ6" s="101" t="s">
        <v>115</v>
      </c>
      <c r="AK6" s="14" t="s">
        <v>41</v>
      </c>
      <c r="AL6" s="9" t="s">
        <v>42</v>
      </c>
      <c r="AM6" s="126" t="s">
        <v>122</v>
      </c>
      <c r="AN6" s="10" t="s">
        <v>43</v>
      </c>
      <c r="AO6" s="126" t="s">
        <v>123</v>
      </c>
      <c r="AP6" s="10" t="s">
        <v>45</v>
      </c>
      <c r="AQ6" s="126" t="s">
        <v>124</v>
      </c>
      <c r="AR6" s="10" t="s">
        <v>44</v>
      </c>
      <c r="AS6" s="126" t="s">
        <v>125</v>
      </c>
      <c r="AT6" s="10" t="s">
        <v>116</v>
      </c>
      <c r="AU6" s="10" t="s">
        <v>117</v>
      </c>
      <c r="AV6" s="94" t="s">
        <v>118</v>
      </c>
      <c r="AW6" s="9" t="s">
        <v>46</v>
      </c>
      <c r="AX6" s="10" t="s">
        <v>47</v>
      </c>
      <c r="AY6" s="10" t="s">
        <v>48</v>
      </c>
      <c r="AZ6" s="10" t="s">
        <v>49</v>
      </c>
      <c r="BA6" s="107" t="s">
        <v>50</v>
      </c>
      <c r="BB6" s="10" t="s">
        <v>51</v>
      </c>
      <c r="BC6" s="10" t="s">
        <v>52</v>
      </c>
      <c r="BD6" s="10" t="s">
        <v>108</v>
      </c>
      <c r="BE6" s="9" t="s">
        <v>53</v>
      </c>
      <c r="BF6" s="10" t="s">
        <v>54</v>
      </c>
      <c r="BG6" s="10" t="s">
        <v>55</v>
      </c>
      <c r="BH6" s="10" t="s">
        <v>56</v>
      </c>
      <c r="BI6" s="10" t="s">
        <v>57</v>
      </c>
      <c r="BJ6" s="10" t="s">
        <v>58</v>
      </c>
      <c r="BK6" s="11" t="s">
        <v>59</v>
      </c>
      <c r="BL6" s="9" t="s">
        <v>60</v>
      </c>
      <c r="BM6" s="10" t="s">
        <v>61</v>
      </c>
      <c r="BN6" s="10" t="s">
        <v>62</v>
      </c>
      <c r="BO6" s="10" t="s">
        <v>63</v>
      </c>
      <c r="BP6" s="10" t="s">
        <v>64</v>
      </c>
      <c r="BQ6" s="10" t="s">
        <v>65</v>
      </c>
      <c r="BR6" s="10" t="s">
        <v>66</v>
      </c>
      <c r="BS6" s="9" t="s">
        <v>70</v>
      </c>
      <c r="BT6" s="10" t="s">
        <v>67</v>
      </c>
      <c r="BU6" s="10" t="s">
        <v>68</v>
      </c>
      <c r="BV6" s="10" t="s">
        <v>69</v>
      </c>
      <c r="BW6" s="11" t="s">
        <v>71</v>
      </c>
    </row>
    <row r="7" spans="1:152" ht="16" x14ac:dyDescent="0.2">
      <c r="A7" s="168" t="s">
        <v>138</v>
      </c>
      <c r="B7" s="168" t="s">
        <v>247</v>
      </c>
      <c r="C7" s="168" t="s">
        <v>248</v>
      </c>
      <c r="D7" s="169" t="s">
        <v>73</v>
      </c>
      <c r="E7" s="169" t="s">
        <v>72</v>
      </c>
      <c r="F7" s="169" t="s">
        <v>72</v>
      </c>
      <c r="G7" s="169" t="s">
        <v>73</v>
      </c>
      <c r="H7" s="169"/>
      <c r="I7" s="169">
        <v>8</v>
      </c>
      <c r="N7" s="169"/>
      <c r="O7" s="169"/>
      <c r="P7" s="169"/>
      <c r="Q7" s="169" t="s">
        <v>73</v>
      </c>
      <c r="R7" s="169" t="s">
        <v>73</v>
      </c>
      <c r="S7" s="169" t="s">
        <v>73</v>
      </c>
      <c r="T7" s="1"/>
      <c r="U7" s="1"/>
      <c r="V7" s="1"/>
      <c r="W7" s="1"/>
      <c r="X7" s="1"/>
      <c r="Y7" s="1"/>
      <c r="Z7" s="169" t="s">
        <v>73</v>
      </c>
      <c r="AA7" s="169" t="s">
        <v>73</v>
      </c>
      <c r="AC7" s="1"/>
      <c r="AE7" s="1"/>
      <c r="AF7" s="1"/>
      <c r="AK7" s="169" t="s">
        <v>73</v>
      </c>
      <c r="AL7" s="169" t="s">
        <v>73</v>
      </c>
      <c r="AN7" s="169" t="s">
        <v>73</v>
      </c>
      <c r="AP7" s="169" t="s">
        <v>73</v>
      </c>
      <c r="AR7" s="169" t="s">
        <v>73</v>
      </c>
      <c r="AT7" s="168" t="s">
        <v>72</v>
      </c>
      <c r="AU7">
        <v>1</v>
      </c>
      <c r="AW7" s="1">
        <v>35</v>
      </c>
      <c r="AX7" s="1">
        <v>4</v>
      </c>
      <c r="AY7" s="169" t="s">
        <v>73</v>
      </c>
      <c r="AZ7" s="169" t="s">
        <v>73</v>
      </c>
      <c r="BA7" s="170" t="s">
        <v>73</v>
      </c>
      <c r="BB7" s="169">
        <v>1889</v>
      </c>
      <c r="BC7" s="102">
        <v>45647.568692129629</v>
      </c>
      <c r="BD7" s="87">
        <v>45647.527025462965</v>
      </c>
      <c r="BE7" s="169" t="s">
        <v>73</v>
      </c>
      <c r="BF7" s="169" t="s">
        <v>73</v>
      </c>
      <c r="BG7" s="169" t="s">
        <v>73</v>
      </c>
      <c r="BH7" s="169" t="s">
        <v>73</v>
      </c>
      <c r="BI7" s="169" t="s">
        <v>73</v>
      </c>
      <c r="BJ7" s="169" t="s">
        <v>73</v>
      </c>
      <c r="BK7" s="169"/>
      <c r="BL7" s="169" t="s">
        <v>73</v>
      </c>
      <c r="BM7" s="169" t="s">
        <v>73</v>
      </c>
      <c r="BN7" s="169" t="s">
        <v>73</v>
      </c>
      <c r="BO7" s="169" t="s">
        <v>73</v>
      </c>
      <c r="BP7" s="169" t="s">
        <v>73</v>
      </c>
      <c r="BQ7" s="169" t="s">
        <v>73</v>
      </c>
      <c r="BR7" s="1"/>
      <c r="BS7" s="169" t="s">
        <v>73</v>
      </c>
      <c r="BT7" s="169" t="s">
        <v>73</v>
      </c>
      <c r="BU7" s="169" t="s">
        <v>73</v>
      </c>
      <c r="BV7" s="169" t="s">
        <v>73</v>
      </c>
      <c r="BW7" s="1"/>
      <c r="BX7" s="1"/>
      <c r="BY7" s="1"/>
      <c r="BZ7" s="1"/>
      <c r="CA7" s="1"/>
      <c r="CB7" s="1"/>
      <c r="CC7" s="1"/>
      <c r="CD7" s="1"/>
      <c r="CE7" s="1"/>
      <c r="CF7" s="1"/>
      <c r="CG7" s="1"/>
      <c r="CY7" s="5"/>
      <c r="CZ7" s="5"/>
      <c r="DE7" s="61"/>
      <c r="DH7"/>
      <c r="DI7"/>
      <c r="DJ7"/>
      <c r="DK7"/>
      <c r="DL7"/>
      <c r="DM7"/>
      <c r="DN7"/>
      <c r="DO7"/>
      <c r="DP7"/>
      <c r="DQ7"/>
      <c r="DR7"/>
      <c r="DS7"/>
      <c r="DT7"/>
      <c r="DU7"/>
      <c r="DV7"/>
      <c r="DW7"/>
      <c r="DY7" s="1"/>
      <c r="DZ7" s="1"/>
      <c r="EA7" s="1"/>
      <c r="EB7" s="1"/>
      <c r="EC7" s="1"/>
      <c r="ED7" s="1"/>
      <c r="EE7" s="1"/>
      <c r="EF7" s="1"/>
      <c r="EO7"/>
      <c r="EP7"/>
      <c r="EQ7"/>
      <c r="ER7"/>
      <c r="ES7"/>
      <c r="ET7"/>
      <c r="EU7"/>
      <c r="EV7"/>
    </row>
    <row r="8" spans="1:152" ht="16" x14ac:dyDescent="0.2">
      <c r="A8" s="168" t="s">
        <v>138</v>
      </c>
      <c r="B8" s="168" t="s">
        <v>249</v>
      </c>
      <c r="C8" s="168" t="s">
        <v>250</v>
      </c>
      <c r="D8" s="169" t="s">
        <v>73</v>
      </c>
      <c r="E8" s="169" t="s">
        <v>72</v>
      </c>
      <c r="F8" s="169" t="s">
        <v>72</v>
      </c>
      <c r="G8" s="169" t="s">
        <v>73</v>
      </c>
      <c r="H8" s="169"/>
      <c r="I8" s="169">
        <v>7</v>
      </c>
      <c r="J8">
        <v>3</v>
      </c>
      <c r="N8" s="169"/>
      <c r="O8" s="169"/>
      <c r="P8" s="169"/>
      <c r="Q8" s="169" t="s">
        <v>73</v>
      </c>
      <c r="R8" s="169" t="s">
        <v>73</v>
      </c>
      <c r="S8" s="169" t="s">
        <v>73</v>
      </c>
      <c r="T8" s="1"/>
      <c r="U8" s="1">
        <v>1</v>
      </c>
      <c r="V8" s="1"/>
      <c r="W8" s="1"/>
      <c r="X8" s="1">
        <v>1</v>
      </c>
      <c r="Y8" s="1"/>
      <c r="Z8" s="169" t="s">
        <v>72</v>
      </c>
      <c r="AA8" s="169" t="s">
        <v>73</v>
      </c>
      <c r="AC8" s="1"/>
      <c r="AE8" s="1"/>
      <c r="AF8" s="1"/>
      <c r="AK8" s="169" t="s">
        <v>73</v>
      </c>
      <c r="AL8" s="169" t="s">
        <v>72</v>
      </c>
      <c r="AM8" s="1">
        <v>6</v>
      </c>
      <c r="AN8" s="169" t="s">
        <v>73</v>
      </c>
      <c r="AP8" s="169" t="s">
        <v>73</v>
      </c>
      <c r="AR8" s="169" t="s">
        <v>72</v>
      </c>
      <c r="AS8" s="1">
        <v>5</v>
      </c>
      <c r="AT8" s="168" t="s">
        <v>72</v>
      </c>
      <c r="AU8">
        <v>2</v>
      </c>
      <c r="AW8" s="1">
        <v>25</v>
      </c>
      <c r="AX8" s="1">
        <v>4</v>
      </c>
      <c r="AY8" s="169" t="s">
        <v>73</v>
      </c>
      <c r="AZ8" s="169" t="s">
        <v>73</v>
      </c>
      <c r="BA8" s="170" t="s">
        <v>73</v>
      </c>
      <c r="BB8" s="169">
        <v>1888</v>
      </c>
      <c r="BC8" s="102">
        <v>45647.561111111114</v>
      </c>
      <c r="BD8" s="87">
        <v>45647.519444444442</v>
      </c>
      <c r="BE8" s="169" t="s">
        <v>250</v>
      </c>
      <c r="BF8" s="169" t="s">
        <v>251</v>
      </c>
      <c r="BG8" s="169" t="s">
        <v>76</v>
      </c>
      <c r="BH8" s="169" t="s">
        <v>252</v>
      </c>
      <c r="BI8" s="169" t="s">
        <v>253</v>
      </c>
      <c r="BJ8" s="169" t="s">
        <v>253</v>
      </c>
      <c r="BK8" s="169">
        <v>8</v>
      </c>
      <c r="BL8" s="169" t="s">
        <v>73</v>
      </c>
      <c r="BM8" s="169" t="s">
        <v>73</v>
      </c>
      <c r="BN8" s="169" t="s">
        <v>73</v>
      </c>
      <c r="BO8" s="169" t="s">
        <v>73</v>
      </c>
      <c r="BP8" s="169" t="s">
        <v>73</v>
      </c>
      <c r="BQ8" s="169" t="s">
        <v>73</v>
      </c>
      <c r="BR8" s="1"/>
      <c r="BS8" s="169" t="s">
        <v>73</v>
      </c>
      <c r="BT8" s="169" t="s">
        <v>73</v>
      </c>
      <c r="BU8" s="169" t="s">
        <v>73</v>
      </c>
      <c r="BV8" s="169" t="s">
        <v>73</v>
      </c>
      <c r="BW8" s="1"/>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EO8"/>
      <c r="EP8"/>
      <c r="EQ8"/>
      <c r="ER8"/>
      <c r="ES8"/>
      <c r="ET8"/>
      <c r="EU8"/>
      <c r="EV8"/>
    </row>
    <row r="9" spans="1:152" ht="16" x14ac:dyDescent="0.2">
      <c r="A9" s="168" t="s">
        <v>138</v>
      </c>
      <c r="B9" s="168" t="s">
        <v>241</v>
      </c>
      <c r="C9" s="168" t="s">
        <v>242</v>
      </c>
      <c r="D9" s="169" t="s">
        <v>73</v>
      </c>
      <c r="E9" s="169" t="s">
        <v>72</v>
      </c>
      <c r="F9" s="169" t="s">
        <v>72</v>
      </c>
      <c r="G9" s="169" t="s">
        <v>73</v>
      </c>
      <c r="H9" s="169" t="s">
        <v>72</v>
      </c>
      <c r="I9" s="169">
        <v>6</v>
      </c>
      <c r="J9">
        <v>3</v>
      </c>
      <c r="N9" s="169"/>
      <c r="O9" s="169"/>
      <c r="P9" s="169"/>
      <c r="Q9" s="169" t="s">
        <v>73</v>
      </c>
      <c r="R9" s="169" t="s">
        <v>73</v>
      </c>
      <c r="S9" s="169" t="s">
        <v>73</v>
      </c>
      <c r="T9" s="1">
        <v>1</v>
      </c>
      <c r="U9" s="1"/>
      <c r="V9" s="1"/>
      <c r="W9" s="1">
        <v>1</v>
      </c>
      <c r="X9" s="1"/>
      <c r="Y9" s="1"/>
      <c r="Z9" s="169" t="s">
        <v>73</v>
      </c>
      <c r="AA9" s="169" t="s">
        <v>73</v>
      </c>
      <c r="AC9" s="1"/>
      <c r="AE9" s="1"/>
      <c r="AF9" s="1"/>
      <c r="AK9" s="169" t="s">
        <v>73</v>
      </c>
      <c r="AL9" s="169" t="s">
        <v>72</v>
      </c>
      <c r="AM9" s="1">
        <v>6</v>
      </c>
      <c r="AN9" s="169" t="s">
        <v>72</v>
      </c>
      <c r="AO9" s="1">
        <v>6</v>
      </c>
      <c r="AP9" s="169" t="s">
        <v>73</v>
      </c>
      <c r="AR9" s="169" t="s">
        <v>72</v>
      </c>
      <c r="AS9" s="1">
        <v>6</v>
      </c>
      <c r="AT9" s="168" t="s">
        <v>72</v>
      </c>
      <c r="AU9">
        <v>4</v>
      </c>
      <c r="AW9" s="1">
        <v>46</v>
      </c>
      <c r="AX9" s="1">
        <v>18</v>
      </c>
      <c r="AY9" s="169" t="s">
        <v>73</v>
      </c>
      <c r="AZ9" s="169" t="s">
        <v>73</v>
      </c>
      <c r="BA9" s="170" t="s">
        <v>73</v>
      </c>
      <c r="BB9" s="169">
        <v>1886</v>
      </c>
      <c r="BC9" s="102">
        <v>45647.555879629632</v>
      </c>
      <c r="BD9" s="87">
        <v>45647.51421296296</v>
      </c>
      <c r="BE9" s="169" t="s">
        <v>73</v>
      </c>
      <c r="BF9" s="169" t="s">
        <v>73</v>
      </c>
      <c r="BG9" s="169" t="s">
        <v>73</v>
      </c>
      <c r="BH9" s="169" t="s">
        <v>73</v>
      </c>
      <c r="BI9" s="169" t="s">
        <v>73</v>
      </c>
      <c r="BJ9" s="169" t="s">
        <v>73</v>
      </c>
      <c r="BK9" s="169"/>
      <c r="BL9" s="169" t="s">
        <v>73</v>
      </c>
      <c r="BM9" s="169" t="s">
        <v>73</v>
      </c>
      <c r="BN9" s="169" t="s">
        <v>73</v>
      </c>
      <c r="BO9" s="169" t="s">
        <v>73</v>
      </c>
      <c r="BP9" s="169" t="s">
        <v>73</v>
      </c>
      <c r="BQ9" s="169" t="s">
        <v>73</v>
      </c>
      <c r="BR9" s="1"/>
      <c r="BS9" s="169" t="s">
        <v>73</v>
      </c>
      <c r="BT9" s="169" t="s">
        <v>73</v>
      </c>
      <c r="BU9" s="169" t="s">
        <v>73</v>
      </c>
      <c r="BV9" s="169" t="s">
        <v>73</v>
      </c>
      <c r="BW9" s="1"/>
      <c r="BX9" s="1"/>
      <c r="BY9" s="1"/>
      <c r="BZ9" s="1"/>
      <c r="CA9" s="1"/>
      <c r="CB9" s="1"/>
      <c r="CC9" s="1"/>
      <c r="CD9" s="1"/>
      <c r="CE9" s="1"/>
      <c r="CF9" s="1"/>
      <c r="CG9" s="1"/>
      <c r="DC9" s="5"/>
      <c r="DD9" s="5"/>
      <c r="DI9" s="61"/>
      <c r="DL9"/>
      <c r="DM9"/>
      <c r="DN9"/>
      <c r="DO9"/>
      <c r="DP9"/>
      <c r="DQ9"/>
      <c r="DR9"/>
      <c r="DS9"/>
      <c r="DT9"/>
      <c r="DU9"/>
      <c r="DV9"/>
      <c r="DW9"/>
      <c r="EC9" s="1"/>
      <c r="ED9" s="1"/>
      <c r="EE9" s="1"/>
      <c r="EF9" s="1"/>
      <c r="EG9" s="1"/>
      <c r="EH9" s="1"/>
      <c r="EI9" s="1"/>
      <c r="EJ9" s="1"/>
      <c r="EO9"/>
      <c r="EP9"/>
      <c r="EQ9"/>
      <c r="ER9"/>
      <c r="ES9"/>
      <c r="ET9"/>
      <c r="EU9"/>
      <c r="EV9"/>
    </row>
    <row r="10" spans="1:152" ht="16" x14ac:dyDescent="0.2">
      <c r="A10" s="168" t="s">
        <v>138</v>
      </c>
      <c r="B10" s="168" t="s">
        <v>244</v>
      </c>
      <c r="C10" s="168" t="s">
        <v>245</v>
      </c>
      <c r="D10" s="169" t="s">
        <v>73</v>
      </c>
      <c r="E10" s="169" t="s">
        <v>72</v>
      </c>
      <c r="F10" s="169" t="s">
        <v>72</v>
      </c>
      <c r="G10" s="169" t="s">
        <v>73</v>
      </c>
      <c r="H10" s="169"/>
      <c r="I10" s="169">
        <v>7</v>
      </c>
      <c r="N10" s="169"/>
      <c r="O10" s="169"/>
      <c r="P10" s="169"/>
      <c r="Q10" s="169" t="s">
        <v>73</v>
      </c>
      <c r="R10" s="169" t="s">
        <v>73</v>
      </c>
      <c r="S10" s="169" t="s">
        <v>73</v>
      </c>
      <c r="T10" s="1">
        <v>2</v>
      </c>
      <c r="U10" s="1"/>
      <c r="V10" s="1"/>
      <c r="W10" s="1">
        <v>2</v>
      </c>
      <c r="X10" s="1"/>
      <c r="Y10" s="1"/>
      <c r="Z10" s="169" t="s">
        <v>72</v>
      </c>
      <c r="AA10" s="169" t="s">
        <v>73</v>
      </c>
      <c r="AC10" s="1">
        <v>2</v>
      </c>
      <c r="AE10" s="1"/>
      <c r="AF10" s="1"/>
      <c r="AG10">
        <v>2</v>
      </c>
      <c r="AK10" s="169" t="s">
        <v>73</v>
      </c>
      <c r="AL10" s="169" t="s">
        <v>72</v>
      </c>
      <c r="AM10" s="1">
        <v>6</v>
      </c>
      <c r="AN10" s="169" t="s">
        <v>72</v>
      </c>
      <c r="AO10" s="1">
        <v>6</v>
      </c>
      <c r="AP10" s="169" t="s">
        <v>73</v>
      </c>
      <c r="AR10" s="169" t="s">
        <v>72</v>
      </c>
      <c r="AS10" s="1">
        <v>6</v>
      </c>
      <c r="AT10" s="168" t="s">
        <v>72</v>
      </c>
      <c r="AU10">
        <v>1</v>
      </c>
      <c r="AW10" s="1">
        <v>75</v>
      </c>
      <c r="AX10" s="1">
        <v>5</v>
      </c>
      <c r="AY10" s="169" t="s">
        <v>73</v>
      </c>
      <c r="AZ10" s="169" t="s">
        <v>73</v>
      </c>
      <c r="BA10" s="170" t="s">
        <v>73</v>
      </c>
      <c r="BB10" s="169">
        <v>1881</v>
      </c>
      <c r="BC10" s="102">
        <v>45647.422800925924</v>
      </c>
      <c r="BD10" s="87">
        <v>45647.44159722222</v>
      </c>
      <c r="BE10" s="169" t="s">
        <v>245</v>
      </c>
      <c r="BF10" s="169" t="s">
        <v>78</v>
      </c>
      <c r="BG10" s="169" t="s">
        <v>215</v>
      </c>
      <c r="BH10" s="169" t="s">
        <v>162</v>
      </c>
      <c r="BI10" s="169" t="s">
        <v>246</v>
      </c>
      <c r="BJ10" s="169" t="s">
        <v>246</v>
      </c>
      <c r="BK10" s="169">
        <v>35</v>
      </c>
      <c r="BL10" s="169" t="s">
        <v>73</v>
      </c>
      <c r="BM10" s="169" t="s">
        <v>73</v>
      </c>
      <c r="BN10" s="169" t="s">
        <v>73</v>
      </c>
      <c r="BO10" s="169" t="s">
        <v>73</v>
      </c>
      <c r="BP10" s="169" t="s">
        <v>73</v>
      </c>
      <c r="BQ10" s="169" t="s">
        <v>73</v>
      </c>
      <c r="BR10" s="1"/>
      <c r="BS10" s="169" t="s">
        <v>73</v>
      </c>
      <c r="BT10" s="169" t="s">
        <v>73</v>
      </c>
      <c r="BU10" s="169" t="s">
        <v>73</v>
      </c>
      <c r="BV10" s="169" t="s">
        <v>73</v>
      </c>
      <c r="BW10" s="1"/>
      <c r="BX10" s="1"/>
      <c r="BY10" s="1"/>
      <c r="BZ10" s="1"/>
      <c r="CA10" s="1"/>
      <c r="CB10" s="1"/>
      <c r="CC10" s="1"/>
      <c r="CD10" s="1"/>
      <c r="CE10" s="1"/>
      <c r="CF10" s="1"/>
      <c r="CG10" s="1"/>
      <c r="DC10" s="5"/>
      <c r="DD10" s="5"/>
      <c r="DI10" s="61"/>
      <c r="DL10"/>
      <c r="DM10"/>
      <c r="DN10"/>
      <c r="DO10"/>
      <c r="DP10"/>
      <c r="DQ10"/>
      <c r="DR10"/>
      <c r="DS10"/>
      <c r="DT10"/>
      <c r="DU10"/>
      <c r="DV10"/>
      <c r="DW10"/>
      <c r="EC10" s="1"/>
      <c r="ED10" s="1"/>
      <c r="EE10" s="1"/>
      <c r="EF10" s="1"/>
      <c r="EG10" s="1"/>
      <c r="EH10" s="1"/>
      <c r="EI10" s="1"/>
      <c r="EJ10" s="1"/>
      <c r="EO10"/>
      <c r="EP10"/>
      <c r="EQ10"/>
      <c r="ER10"/>
      <c r="ES10"/>
      <c r="ET10"/>
      <c r="EU10"/>
      <c r="EV10"/>
    </row>
    <row r="11" spans="1:152" ht="16" x14ac:dyDescent="0.2">
      <c r="A11" s="168" t="s">
        <v>138</v>
      </c>
      <c r="B11" s="168" t="s">
        <v>207</v>
      </c>
      <c r="C11" s="168" t="s">
        <v>236</v>
      </c>
      <c r="D11" s="169" t="s">
        <v>73</v>
      </c>
      <c r="E11" s="169" t="s">
        <v>72</v>
      </c>
      <c r="F11" s="169" t="s">
        <v>72</v>
      </c>
      <c r="G11" s="169" t="s">
        <v>73</v>
      </c>
      <c r="H11" s="169"/>
      <c r="I11" s="169">
        <v>7</v>
      </c>
      <c r="N11" s="169"/>
      <c r="O11" s="169"/>
      <c r="P11" s="169"/>
      <c r="Q11" s="169" t="s">
        <v>73</v>
      </c>
      <c r="R11" s="169" t="s">
        <v>73</v>
      </c>
      <c r="S11" s="169" t="s">
        <v>73</v>
      </c>
      <c r="T11" s="1"/>
      <c r="U11" s="1"/>
      <c r="V11" s="1"/>
      <c r="W11" s="1"/>
      <c r="X11" s="1"/>
      <c r="Y11" s="1"/>
      <c r="Z11" s="169" t="s">
        <v>73</v>
      </c>
      <c r="AA11" s="169" t="s">
        <v>73</v>
      </c>
      <c r="AC11" s="1"/>
      <c r="AE11" s="1"/>
      <c r="AF11" s="1"/>
      <c r="AK11" s="169" t="s">
        <v>72</v>
      </c>
      <c r="AL11" s="169" t="s">
        <v>72</v>
      </c>
      <c r="AM11" s="1">
        <v>6</v>
      </c>
      <c r="AN11" s="169" t="s">
        <v>72</v>
      </c>
      <c r="AO11" s="1">
        <v>6</v>
      </c>
      <c r="AP11" s="169" t="s">
        <v>73</v>
      </c>
      <c r="AR11" s="169" t="s">
        <v>72</v>
      </c>
      <c r="AS11" s="1">
        <v>6</v>
      </c>
      <c r="AT11" s="168" t="s">
        <v>73</v>
      </c>
      <c r="AW11" s="1">
        <v>57</v>
      </c>
      <c r="AX11" s="1">
        <v>2</v>
      </c>
      <c r="AY11" s="169" t="s">
        <v>73</v>
      </c>
      <c r="AZ11" s="169" t="s">
        <v>73</v>
      </c>
      <c r="BA11" s="170" t="s">
        <v>73</v>
      </c>
      <c r="BB11" s="169">
        <v>1877</v>
      </c>
      <c r="BC11" s="102">
        <v>45646.491331018522</v>
      </c>
      <c r="BD11" s="87">
        <v>45646.451967592591</v>
      </c>
      <c r="BE11" s="169" t="s">
        <v>73</v>
      </c>
      <c r="BF11" s="169" t="s">
        <v>73</v>
      </c>
      <c r="BG11" s="169" t="s">
        <v>73</v>
      </c>
      <c r="BH11" s="169" t="s">
        <v>73</v>
      </c>
      <c r="BI11" s="169" t="s">
        <v>73</v>
      </c>
      <c r="BJ11" s="169" t="s">
        <v>73</v>
      </c>
      <c r="BK11" s="169"/>
      <c r="BL11" s="169" t="s">
        <v>73</v>
      </c>
      <c r="BM11" s="169" t="s">
        <v>73</v>
      </c>
      <c r="BN11" s="169" t="s">
        <v>73</v>
      </c>
      <c r="BO11" s="169" t="s">
        <v>73</v>
      </c>
      <c r="BP11" s="169" t="s">
        <v>73</v>
      </c>
      <c r="BQ11" s="169" t="s">
        <v>73</v>
      </c>
      <c r="BR11" s="1"/>
      <c r="BS11" s="169" t="s">
        <v>73</v>
      </c>
      <c r="BT11" s="169" t="s">
        <v>73</v>
      </c>
      <c r="BU11" s="169" t="s">
        <v>73</v>
      </c>
      <c r="BV11" s="169" t="s">
        <v>73</v>
      </c>
      <c r="BW11" s="1"/>
      <c r="BX11" s="1"/>
      <c r="BY11" s="1"/>
      <c r="BZ11" s="1"/>
      <c r="CA11" s="1"/>
      <c r="CB11" s="1"/>
      <c r="CC11" s="1"/>
      <c r="CD11" s="1"/>
      <c r="CE11" s="1"/>
      <c r="CF11" s="1"/>
      <c r="CG11" s="1"/>
      <c r="DC11" s="5"/>
      <c r="DD11" s="5"/>
      <c r="DI11" s="61"/>
      <c r="DL11"/>
      <c r="DM11"/>
      <c r="DN11"/>
      <c r="DO11"/>
      <c r="DP11"/>
      <c r="DQ11"/>
      <c r="DR11"/>
      <c r="DS11"/>
      <c r="DT11"/>
      <c r="DU11"/>
      <c r="DV11"/>
      <c r="DW11"/>
      <c r="EC11" s="1"/>
      <c r="ED11" s="1"/>
      <c r="EE11" s="1"/>
      <c r="EF11" s="1"/>
      <c r="EG11" s="1"/>
      <c r="EH11" s="1"/>
      <c r="EI11" s="1"/>
      <c r="EJ11" s="1"/>
      <c r="EO11"/>
      <c r="EP11"/>
      <c r="EQ11"/>
      <c r="ER11"/>
      <c r="ES11"/>
      <c r="ET11"/>
      <c r="EU11"/>
      <c r="EV11"/>
    </row>
    <row r="12" spans="1:152" ht="16" x14ac:dyDescent="0.2">
      <c r="A12" s="168" t="s">
        <v>138</v>
      </c>
      <c r="B12" s="168" t="s">
        <v>231</v>
      </c>
      <c r="C12" s="168" t="s">
        <v>232</v>
      </c>
      <c r="D12" s="169" t="s">
        <v>73</v>
      </c>
      <c r="E12" s="169" t="s">
        <v>72</v>
      </c>
      <c r="F12" s="169" t="s">
        <v>72</v>
      </c>
      <c r="G12" s="169" t="s">
        <v>73</v>
      </c>
      <c r="H12" s="169"/>
      <c r="I12" s="169">
        <v>10</v>
      </c>
      <c r="N12" s="169"/>
      <c r="O12" s="169"/>
      <c r="P12" s="169"/>
      <c r="Q12" s="169" t="s">
        <v>73</v>
      </c>
      <c r="R12" s="169" t="s">
        <v>73</v>
      </c>
      <c r="S12" s="169" t="s">
        <v>73</v>
      </c>
      <c r="T12" s="1"/>
      <c r="U12" s="1"/>
      <c r="V12" s="1"/>
      <c r="W12" s="1"/>
      <c r="X12" s="1"/>
      <c r="Y12" s="1"/>
      <c r="Z12" s="169" t="s">
        <v>73</v>
      </c>
      <c r="AA12" s="169" t="s">
        <v>73</v>
      </c>
      <c r="AC12" s="1">
        <v>5</v>
      </c>
      <c r="AE12" s="1"/>
      <c r="AF12" s="1"/>
      <c r="AG12">
        <v>5</v>
      </c>
      <c r="AK12" s="169" t="s">
        <v>72</v>
      </c>
      <c r="AL12" s="169" t="s">
        <v>72</v>
      </c>
      <c r="AM12" s="1">
        <v>3</v>
      </c>
      <c r="AN12" s="169" t="s">
        <v>72</v>
      </c>
      <c r="AO12" s="1">
        <v>3</v>
      </c>
      <c r="AP12" s="169" t="s">
        <v>73</v>
      </c>
      <c r="AR12" s="169" t="s">
        <v>73</v>
      </c>
      <c r="AT12" s="168" t="s">
        <v>73</v>
      </c>
      <c r="AW12" s="1">
        <v>70</v>
      </c>
      <c r="AX12" s="1">
        <v>5</v>
      </c>
      <c r="AY12" s="169" t="s">
        <v>72</v>
      </c>
      <c r="AZ12" s="169" t="s">
        <v>73</v>
      </c>
      <c r="BA12" s="170" t="s">
        <v>73</v>
      </c>
      <c r="BB12" s="169">
        <v>1874</v>
      </c>
      <c r="BC12" s="102">
        <v>45645.469895833332</v>
      </c>
      <c r="BD12" s="87">
        <v>45645.428229166668</v>
      </c>
      <c r="BE12" s="169" t="s">
        <v>73</v>
      </c>
      <c r="BF12" s="169" t="s">
        <v>73</v>
      </c>
      <c r="BG12" s="169" t="s">
        <v>73</v>
      </c>
      <c r="BH12" s="169" t="s">
        <v>73</v>
      </c>
      <c r="BI12" s="169" t="s">
        <v>73</v>
      </c>
      <c r="BJ12" s="169" t="s">
        <v>73</v>
      </c>
      <c r="BK12" s="169"/>
      <c r="BL12" s="169" t="s">
        <v>73</v>
      </c>
      <c r="BM12" s="169" t="s">
        <v>73</v>
      </c>
      <c r="BN12" s="169" t="s">
        <v>73</v>
      </c>
      <c r="BO12" s="169" t="s">
        <v>73</v>
      </c>
      <c r="BP12" s="169" t="s">
        <v>73</v>
      </c>
      <c r="BQ12" s="169" t="s">
        <v>73</v>
      </c>
      <c r="BR12" s="1"/>
      <c r="BS12" s="169" t="s">
        <v>73</v>
      </c>
      <c r="BT12" s="169" t="s">
        <v>73</v>
      </c>
      <c r="BU12" s="169" t="s">
        <v>73</v>
      </c>
      <c r="BV12" s="169" t="s">
        <v>73</v>
      </c>
      <c r="BW12" s="1"/>
      <c r="BX12" s="1"/>
      <c r="BY12" s="1"/>
      <c r="BZ12" s="1"/>
      <c r="CA12" s="1"/>
      <c r="CB12" s="1"/>
      <c r="CC12" s="1"/>
      <c r="CD12" s="1"/>
      <c r="CE12" s="1"/>
      <c r="CF12" s="1"/>
      <c r="CG12" s="1"/>
      <c r="DC12" s="5"/>
      <c r="DD12" s="5"/>
      <c r="DI12" s="61"/>
      <c r="DL12"/>
      <c r="DM12"/>
      <c r="DN12"/>
      <c r="DO12"/>
      <c r="DP12"/>
      <c r="DQ12"/>
      <c r="DR12"/>
      <c r="DS12"/>
      <c r="DT12"/>
      <c r="DU12"/>
      <c r="DV12"/>
      <c r="DW12"/>
      <c r="EC12" s="1"/>
      <c r="ED12" s="1"/>
      <c r="EE12" s="1"/>
      <c r="EF12" s="1"/>
      <c r="EG12" s="1"/>
      <c r="EH12" s="1"/>
      <c r="EI12" s="1"/>
      <c r="EJ12" s="1"/>
      <c r="EO12"/>
      <c r="EP12"/>
      <c r="EQ12"/>
      <c r="ER12"/>
      <c r="ES12"/>
      <c r="ET12"/>
      <c r="EU12"/>
      <c r="EV12"/>
    </row>
    <row r="13" spans="1:152" ht="16" x14ac:dyDescent="0.2">
      <c r="A13" s="168" t="s">
        <v>138</v>
      </c>
      <c r="B13" s="168" t="s">
        <v>237</v>
      </c>
      <c r="C13" s="168" t="s">
        <v>238</v>
      </c>
      <c r="D13" s="169" t="s">
        <v>73</v>
      </c>
      <c r="E13" s="169" t="s">
        <v>72</v>
      </c>
      <c r="F13" s="169" t="s">
        <v>72</v>
      </c>
      <c r="G13" s="169" t="s">
        <v>73</v>
      </c>
      <c r="H13" s="169"/>
      <c r="I13" s="169">
        <v>4</v>
      </c>
      <c r="N13" s="169"/>
      <c r="O13" s="169"/>
      <c r="P13" s="169"/>
      <c r="Q13" s="169" t="s">
        <v>73</v>
      </c>
      <c r="R13" s="169" t="s">
        <v>73</v>
      </c>
      <c r="S13" s="169" t="s">
        <v>73</v>
      </c>
      <c r="T13" s="1"/>
      <c r="U13" s="1"/>
      <c r="V13" s="1"/>
      <c r="W13" s="1"/>
      <c r="X13" s="1"/>
      <c r="Y13" s="1"/>
      <c r="Z13" s="169" t="s">
        <v>73</v>
      </c>
      <c r="AA13" s="169" t="s">
        <v>73</v>
      </c>
      <c r="AC13" s="1"/>
      <c r="AE13" s="1">
        <v>1</v>
      </c>
      <c r="AF13" s="1"/>
      <c r="AI13">
        <v>1</v>
      </c>
      <c r="AK13" s="169" t="s">
        <v>73</v>
      </c>
      <c r="AL13" s="169" t="s">
        <v>72</v>
      </c>
      <c r="AM13" s="1">
        <v>6</v>
      </c>
      <c r="AN13" s="169" t="s">
        <v>72</v>
      </c>
      <c r="AO13" s="1">
        <v>6</v>
      </c>
      <c r="AP13" s="169" t="s">
        <v>73</v>
      </c>
      <c r="AR13" s="169" t="s">
        <v>72</v>
      </c>
      <c r="AS13" s="1">
        <v>6</v>
      </c>
      <c r="AT13" s="168" t="s">
        <v>73</v>
      </c>
      <c r="AW13" s="1">
        <v>6</v>
      </c>
      <c r="AX13" s="1">
        <v>0</v>
      </c>
      <c r="AY13" s="169" t="s">
        <v>73</v>
      </c>
      <c r="AZ13" s="169" t="s">
        <v>73</v>
      </c>
      <c r="BA13" s="170" t="s">
        <v>73</v>
      </c>
      <c r="BB13" s="169">
        <v>1870</v>
      </c>
      <c r="BC13" s="102">
        <v>45645.403946759259</v>
      </c>
      <c r="BD13" s="87">
        <v>45645.362280092595</v>
      </c>
      <c r="BE13" s="169" t="s">
        <v>73</v>
      </c>
      <c r="BF13" s="169" t="s">
        <v>73</v>
      </c>
      <c r="BG13" s="169" t="s">
        <v>73</v>
      </c>
      <c r="BH13" s="169" t="s">
        <v>73</v>
      </c>
      <c r="BI13" s="169" t="s">
        <v>73</v>
      </c>
      <c r="BJ13" s="169" t="s">
        <v>73</v>
      </c>
      <c r="BK13" s="169"/>
      <c r="BL13" s="169" t="s">
        <v>73</v>
      </c>
      <c r="BM13" s="169" t="s">
        <v>73</v>
      </c>
      <c r="BN13" s="169" t="s">
        <v>73</v>
      </c>
      <c r="BO13" s="169" t="s">
        <v>73</v>
      </c>
      <c r="BP13" s="169" t="s">
        <v>73</v>
      </c>
      <c r="BQ13" s="169" t="s">
        <v>73</v>
      </c>
      <c r="BR13" s="1"/>
      <c r="BS13" s="169" t="s">
        <v>73</v>
      </c>
      <c r="BT13" s="169" t="s">
        <v>73</v>
      </c>
      <c r="BU13" s="169" t="s">
        <v>73</v>
      </c>
      <c r="BV13" s="169" t="s">
        <v>73</v>
      </c>
      <c r="BW13" s="1"/>
      <c r="BX13" s="1"/>
      <c r="BY13" s="1"/>
      <c r="BZ13" s="1"/>
      <c r="CA13" s="1"/>
      <c r="CB13" s="1"/>
      <c r="CC13" s="1"/>
      <c r="CD13" s="1"/>
      <c r="CE13" s="1"/>
      <c r="CF13" s="1"/>
      <c r="CG13" s="1"/>
      <c r="DC13" s="5"/>
      <c r="DD13" s="5"/>
      <c r="DI13" s="61"/>
      <c r="DL13"/>
      <c r="DM13"/>
      <c r="DN13"/>
      <c r="DO13"/>
      <c r="DP13"/>
      <c r="DQ13"/>
      <c r="DR13"/>
      <c r="DS13"/>
      <c r="DT13"/>
      <c r="DU13"/>
      <c r="DV13"/>
      <c r="DW13"/>
      <c r="EC13" s="1"/>
      <c r="ED13" s="1"/>
      <c r="EE13" s="1"/>
      <c r="EF13" s="1"/>
      <c r="EG13" s="1"/>
      <c r="EH13" s="1"/>
      <c r="EI13" s="1"/>
      <c r="EJ13" s="1"/>
      <c r="EO13"/>
      <c r="EP13"/>
      <c r="EQ13"/>
      <c r="ER13"/>
      <c r="ES13"/>
      <c r="ET13"/>
      <c r="EU13"/>
      <c r="EV13"/>
    </row>
    <row r="14" spans="1:152" ht="16" x14ac:dyDescent="0.2">
      <c r="A14" s="168" t="s">
        <v>138</v>
      </c>
      <c r="B14" s="168" t="s">
        <v>212</v>
      </c>
      <c r="C14" s="168" t="s">
        <v>213</v>
      </c>
      <c r="D14" s="169" t="s">
        <v>73</v>
      </c>
      <c r="E14" s="169" t="s">
        <v>72</v>
      </c>
      <c r="F14" s="169" t="s">
        <v>72</v>
      </c>
      <c r="G14" s="169" t="s">
        <v>73</v>
      </c>
      <c r="H14" s="169"/>
      <c r="I14" s="169">
        <v>6</v>
      </c>
      <c r="N14" s="169"/>
      <c r="O14" s="169"/>
      <c r="P14" s="169"/>
      <c r="Q14" s="169" t="s">
        <v>73</v>
      </c>
      <c r="R14" s="169" t="s">
        <v>73</v>
      </c>
      <c r="S14" s="169" t="s">
        <v>73</v>
      </c>
      <c r="T14" s="1"/>
      <c r="U14" s="1"/>
      <c r="V14" s="1"/>
      <c r="W14" s="1"/>
      <c r="X14" s="1"/>
      <c r="Y14" s="1"/>
      <c r="Z14" s="169" t="s">
        <v>72</v>
      </c>
      <c r="AA14" s="169" t="s">
        <v>73</v>
      </c>
      <c r="AC14" s="1"/>
      <c r="AE14" s="1"/>
      <c r="AF14" s="1"/>
      <c r="AK14" s="169" t="s">
        <v>73</v>
      </c>
      <c r="AL14" s="169" t="s">
        <v>72</v>
      </c>
      <c r="AM14" s="1">
        <v>6</v>
      </c>
      <c r="AN14" s="169" t="s">
        <v>72</v>
      </c>
      <c r="AO14" s="1">
        <v>6</v>
      </c>
      <c r="AP14" s="169" t="s">
        <v>73</v>
      </c>
      <c r="AR14" s="169" t="s">
        <v>72</v>
      </c>
      <c r="AS14" s="1">
        <v>6</v>
      </c>
      <c r="AT14" s="168" t="s">
        <v>73</v>
      </c>
      <c r="AW14" s="1">
        <v>40</v>
      </c>
      <c r="AX14" s="1">
        <v>2</v>
      </c>
      <c r="AY14" s="169" t="s">
        <v>72</v>
      </c>
      <c r="AZ14" s="169" t="s">
        <v>73</v>
      </c>
      <c r="BA14" s="170" t="s">
        <v>73</v>
      </c>
      <c r="BB14" s="169">
        <v>1858</v>
      </c>
      <c r="BC14" s="102">
        <v>45643.915798611109</v>
      </c>
      <c r="BD14" s="87">
        <v>45643.874131944445</v>
      </c>
      <c r="BE14" s="169" t="s">
        <v>213</v>
      </c>
      <c r="BF14" s="169" t="s">
        <v>78</v>
      </c>
      <c r="BG14" s="169" t="s">
        <v>215</v>
      </c>
      <c r="BH14" s="169" t="s">
        <v>216</v>
      </c>
      <c r="BI14" s="169" t="s">
        <v>217</v>
      </c>
      <c r="BJ14" s="169" t="s">
        <v>218</v>
      </c>
      <c r="BK14" s="169">
        <v>10</v>
      </c>
      <c r="BL14" s="169" t="s">
        <v>73</v>
      </c>
      <c r="BM14" s="169" t="s">
        <v>73</v>
      </c>
      <c r="BN14" s="169" t="s">
        <v>73</v>
      </c>
      <c r="BO14" s="169" t="s">
        <v>73</v>
      </c>
      <c r="BP14" s="169" t="s">
        <v>73</v>
      </c>
      <c r="BQ14" s="169" t="s">
        <v>73</v>
      </c>
      <c r="BR14" s="1"/>
      <c r="BS14" s="169" t="s">
        <v>73</v>
      </c>
      <c r="BT14" s="169" t="s">
        <v>73</v>
      </c>
      <c r="BU14" s="169" t="s">
        <v>73</v>
      </c>
      <c r="BV14" s="169" t="s">
        <v>73</v>
      </c>
      <c r="BW14" s="1"/>
      <c r="BX14" s="1"/>
      <c r="BY14" s="1"/>
      <c r="BZ14" s="1"/>
      <c r="CA14" s="1"/>
      <c r="CB14" s="1"/>
      <c r="CC14" s="1"/>
      <c r="CD14" s="1"/>
      <c r="CE14" s="1"/>
      <c r="CF14" s="1"/>
      <c r="CG14" s="1"/>
      <c r="DC14" s="5"/>
      <c r="DD14" s="5"/>
      <c r="DI14" s="61"/>
      <c r="DL14"/>
      <c r="DM14"/>
      <c r="DN14"/>
      <c r="DO14"/>
      <c r="DP14"/>
      <c r="DQ14"/>
      <c r="DR14"/>
      <c r="DS14"/>
      <c r="DT14"/>
      <c r="DU14"/>
      <c r="DV14"/>
      <c r="DW14"/>
      <c r="EC14" s="1"/>
      <c r="ED14" s="1"/>
      <c r="EE14" s="1"/>
      <c r="EF14" s="1"/>
      <c r="EG14" s="1"/>
      <c r="EH14" s="1"/>
      <c r="EI14" s="1"/>
      <c r="EJ14" s="1"/>
      <c r="EO14"/>
      <c r="EP14"/>
      <c r="EQ14"/>
      <c r="ER14"/>
      <c r="ES14"/>
      <c r="ET14"/>
      <c r="EU14"/>
      <c r="EV14"/>
    </row>
    <row r="15" spans="1:152" ht="16" x14ac:dyDescent="0.2">
      <c r="A15" s="168" t="s">
        <v>138</v>
      </c>
      <c r="B15" s="168" t="s">
        <v>186</v>
      </c>
      <c r="C15" s="168" t="s">
        <v>187</v>
      </c>
      <c r="D15" s="169" t="s">
        <v>73</v>
      </c>
      <c r="E15" s="169" t="s">
        <v>72</v>
      </c>
      <c r="F15" s="169" t="s">
        <v>73</v>
      </c>
      <c r="G15" s="169" t="s">
        <v>72</v>
      </c>
      <c r="H15" s="169" t="s">
        <v>74</v>
      </c>
      <c r="I15" s="169">
        <v>6</v>
      </c>
      <c r="N15" s="169"/>
      <c r="O15" s="169"/>
      <c r="P15" s="169"/>
      <c r="Q15" s="169" t="s">
        <v>73</v>
      </c>
      <c r="R15" s="169" t="s">
        <v>73</v>
      </c>
      <c r="S15" s="169" t="s">
        <v>73</v>
      </c>
      <c r="T15" s="1">
        <v>1</v>
      </c>
      <c r="U15" s="1"/>
      <c r="V15" s="1"/>
      <c r="W15" s="1">
        <v>1</v>
      </c>
      <c r="X15" s="1"/>
      <c r="Y15" s="1"/>
      <c r="Z15" s="169" t="s">
        <v>73</v>
      </c>
      <c r="AA15" s="169" t="s">
        <v>73</v>
      </c>
      <c r="AB15">
        <v>4</v>
      </c>
      <c r="AC15" s="1">
        <v>5</v>
      </c>
      <c r="AE15" s="1"/>
      <c r="AF15" s="1"/>
      <c r="AG15">
        <v>5</v>
      </c>
      <c r="AK15" s="169" t="s">
        <v>73</v>
      </c>
      <c r="AL15" s="169" t="s">
        <v>73</v>
      </c>
      <c r="AN15" s="169" t="s">
        <v>73</v>
      </c>
      <c r="AP15" s="169" t="s">
        <v>73</v>
      </c>
      <c r="AR15" s="169" t="s">
        <v>73</v>
      </c>
      <c r="AT15" s="168" t="s">
        <v>73</v>
      </c>
      <c r="AW15" s="1">
        <v>90</v>
      </c>
      <c r="AX15" s="1">
        <v>20</v>
      </c>
      <c r="AY15" s="169" t="s">
        <v>72</v>
      </c>
      <c r="AZ15" s="169" t="s">
        <v>73</v>
      </c>
      <c r="BA15" s="170" t="s">
        <v>73</v>
      </c>
      <c r="BB15" s="169">
        <v>1849</v>
      </c>
      <c r="BC15" s="102">
        <v>45642.826678240737</v>
      </c>
      <c r="BD15" s="87">
        <v>45642.785011574073</v>
      </c>
      <c r="BE15" s="169" t="s">
        <v>73</v>
      </c>
      <c r="BF15" s="169" t="s">
        <v>73</v>
      </c>
      <c r="BG15" s="169" t="s">
        <v>73</v>
      </c>
      <c r="BH15" s="169" t="s">
        <v>73</v>
      </c>
      <c r="BI15" s="169" t="s">
        <v>73</v>
      </c>
      <c r="BJ15" s="169" t="s">
        <v>73</v>
      </c>
      <c r="BK15" s="169"/>
      <c r="BL15" s="169" t="s">
        <v>73</v>
      </c>
      <c r="BM15" s="169" t="s">
        <v>73</v>
      </c>
      <c r="BN15" s="169" t="s">
        <v>73</v>
      </c>
      <c r="BO15" s="169" t="s">
        <v>73</v>
      </c>
      <c r="BP15" s="169" t="s">
        <v>73</v>
      </c>
      <c r="BQ15" s="169" t="s">
        <v>73</v>
      </c>
      <c r="BR15" s="1"/>
      <c r="BS15" s="169" t="s">
        <v>75</v>
      </c>
      <c r="BT15" s="169" t="s">
        <v>188</v>
      </c>
      <c r="BU15" s="169" t="s">
        <v>189</v>
      </c>
      <c r="BV15" s="169" t="s">
        <v>190</v>
      </c>
      <c r="BW15" s="1">
        <v>8</v>
      </c>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EO15"/>
      <c r="EP15"/>
      <c r="EQ15"/>
      <c r="ER15"/>
      <c r="ES15"/>
      <c r="ET15"/>
      <c r="EU15"/>
      <c r="EV15"/>
    </row>
    <row r="16" spans="1:152" ht="16" x14ac:dyDescent="0.2">
      <c r="A16" s="168" t="s">
        <v>138</v>
      </c>
      <c r="B16" s="168" t="s">
        <v>210</v>
      </c>
      <c r="C16" s="168" t="s">
        <v>211</v>
      </c>
      <c r="D16" s="169" t="s">
        <v>73</v>
      </c>
      <c r="E16" s="169" t="s">
        <v>72</v>
      </c>
      <c r="F16" s="169" t="s">
        <v>72</v>
      </c>
      <c r="G16" s="169" t="s">
        <v>73</v>
      </c>
      <c r="H16" s="169"/>
      <c r="I16" s="169">
        <v>5</v>
      </c>
      <c r="J16">
        <v>3</v>
      </c>
      <c r="N16" s="169">
        <v>4</v>
      </c>
      <c r="O16" s="169"/>
      <c r="P16" s="169"/>
      <c r="Q16" s="169" t="s">
        <v>73</v>
      </c>
      <c r="R16" s="169" t="s">
        <v>73</v>
      </c>
      <c r="S16" s="169" t="s">
        <v>73</v>
      </c>
      <c r="T16" s="1">
        <v>3</v>
      </c>
      <c r="U16" s="1">
        <v>1</v>
      </c>
      <c r="V16" s="1"/>
      <c r="W16" s="1">
        <v>3</v>
      </c>
      <c r="X16" s="1">
        <v>1</v>
      </c>
      <c r="Y16" s="1"/>
      <c r="Z16" s="169" t="s">
        <v>72</v>
      </c>
      <c r="AA16" s="169" t="s">
        <v>73</v>
      </c>
      <c r="AC16" s="1"/>
      <c r="AE16" s="1"/>
      <c r="AF16" s="1"/>
      <c r="AK16" s="169" t="s">
        <v>72</v>
      </c>
      <c r="AL16" s="169" t="s">
        <v>73</v>
      </c>
      <c r="AN16" s="169" t="s">
        <v>73</v>
      </c>
      <c r="AP16" s="169" t="s">
        <v>73</v>
      </c>
      <c r="AR16" s="169" t="s">
        <v>73</v>
      </c>
      <c r="AT16" s="168" t="s">
        <v>73</v>
      </c>
      <c r="AW16" s="1">
        <v>32</v>
      </c>
      <c r="AX16" s="1">
        <v>7</v>
      </c>
      <c r="AY16" s="169" t="s">
        <v>73</v>
      </c>
      <c r="AZ16" s="169" t="s">
        <v>73</v>
      </c>
      <c r="BA16" s="170" t="s">
        <v>73</v>
      </c>
      <c r="BB16" s="169">
        <v>1848</v>
      </c>
      <c r="BC16" s="102">
        <v>45642.813136574077</v>
      </c>
      <c r="BD16" s="87">
        <v>45642.771469907406</v>
      </c>
      <c r="BE16" s="169" t="s">
        <v>211</v>
      </c>
      <c r="BF16" s="169" t="s">
        <v>219</v>
      </c>
      <c r="BG16" s="169" t="s">
        <v>215</v>
      </c>
      <c r="BH16" s="169" t="s">
        <v>216</v>
      </c>
      <c r="BI16" s="169" t="s">
        <v>220</v>
      </c>
      <c r="BJ16" s="169" t="s">
        <v>221</v>
      </c>
      <c r="BK16" s="169">
        <v>20</v>
      </c>
      <c r="BL16" s="169" t="s">
        <v>73</v>
      </c>
      <c r="BM16" s="169" t="s">
        <v>73</v>
      </c>
      <c r="BN16" s="169" t="s">
        <v>73</v>
      </c>
      <c r="BO16" s="169" t="s">
        <v>73</v>
      </c>
      <c r="BP16" s="169" t="s">
        <v>73</v>
      </c>
      <c r="BQ16" s="169" t="s">
        <v>73</v>
      </c>
      <c r="BR16" s="1"/>
      <c r="BS16" s="169" t="s">
        <v>73</v>
      </c>
      <c r="BT16" s="169" t="s">
        <v>73</v>
      </c>
      <c r="BU16" s="169" t="s">
        <v>73</v>
      </c>
      <c r="BV16" s="169" t="s">
        <v>73</v>
      </c>
      <c r="BW16" s="1"/>
      <c r="BX16" s="1"/>
      <c r="BY16" s="1"/>
      <c r="BZ16" s="1"/>
      <c r="CA16" s="1"/>
      <c r="CB16" s="1"/>
      <c r="CC16" s="1"/>
      <c r="CD16" s="1"/>
      <c r="CE16" s="1"/>
      <c r="CF16" s="1"/>
      <c r="CG16" s="1"/>
      <c r="DC16" s="5"/>
      <c r="DD16" s="5"/>
      <c r="DI16" s="61"/>
      <c r="DL16"/>
      <c r="DM16"/>
      <c r="DN16"/>
      <c r="DO16"/>
      <c r="DP16"/>
      <c r="DQ16"/>
      <c r="DR16"/>
      <c r="DS16"/>
      <c r="DT16"/>
      <c r="DU16"/>
      <c r="DV16"/>
      <c r="DW16"/>
      <c r="EC16" s="1"/>
      <c r="ED16" s="1"/>
      <c r="EE16" s="1"/>
      <c r="EF16" s="1"/>
      <c r="EG16" s="1"/>
      <c r="EH16" s="1"/>
      <c r="EI16" s="1"/>
      <c r="EJ16" s="1"/>
      <c r="EO16"/>
      <c r="EP16"/>
      <c r="EQ16"/>
      <c r="ER16"/>
      <c r="ES16"/>
      <c r="ET16"/>
      <c r="EU16"/>
      <c r="EV16"/>
    </row>
    <row r="17" spans="1:152" ht="16" x14ac:dyDescent="0.2">
      <c r="A17" s="168" t="s">
        <v>138</v>
      </c>
      <c r="B17" s="168" t="s">
        <v>203</v>
      </c>
      <c r="C17" s="168" t="s">
        <v>204</v>
      </c>
      <c r="D17" s="169" t="s">
        <v>73</v>
      </c>
      <c r="E17" s="169" t="s">
        <v>73</v>
      </c>
      <c r="F17" s="169" t="s">
        <v>73</v>
      </c>
      <c r="G17" s="169" t="s">
        <v>73</v>
      </c>
      <c r="H17" s="169"/>
      <c r="I17" s="169"/>
      <c r="N17" s="169"/>
      <c r="O17" s="169"/>
      <c r="P17" s="169"/>
      <c r="Q17" s="169" t="s">
        <v>73</v>
      </c>
      <c r="R17" s="169" t="s">
        <v>73</v>
      </c>
      <c r="S17" s="169" t="s">
        <v>73</v>
      </c>
      <c r="T17" s="1"/>
      <c r="U17" s="1"/>
      <c r="V17" s="1"/>
      <c r="W17" s="1"/>
      <c r="X17" s="1"/>
      <c r="Y17" s="1"/>
      <c r="Z17" s="169" t="s">
        <v>73</v>
      </c>
      <c r="AA17" s="169" t="s">
        <v>73</v>
      </c>
      <c r="AC17" s="1"/>
      <c r="AE17" s="1"/>
      <c r="AF17" s="1"/>
      <c r="AK17" s="169" t="s">
        <v>73</v>
      </c>
      <c r="AL17" s="169" t="s">
        <v>72</v>
      </c>
      <c r="AM17" s="1">
        <v>4</v>
      </c>
      <c r="AN17" s="169" t="s">
        <v>72</v>
      </c>
      <c r="AO17" s="1">
        <v>4</v>
      </c>
      <c r="AP17" s="169" t="s">
        <v>73</v>
      </c>
      <c r="AR17" s="169" t="s">
        <v>72</v>
      </c>
      <c r="AS17" s="1">
        <v>4</v>
      </c>
      <c r="AT17" s="168" t="s">
        <v>73</v>
      </c>
      <c r="AW17" s="1">
        <v>30</v>
      </c>
      <c r="AX17" s="1">
        <v>2</v>
      </c>
      <c r="AY17" s="169" t="s">
        <v>72</v>
      </c>
      <c r="AZ17" s="169" t="s">
        <v>73</v>
      </c>
      <c r="BA17" s="170" t="s">
        <v>73</v>
      </c>
      <c r="BB17" s="169">
        <v>1844</v>
      </c>
      <c r="BC17" s="102">
        <v>45642.667673611111</v>
      </c>
      <c r="BD17" s="87">
        <v>45642.626006944447</v>
      </c>
      <c r="BE17" s="169" t="s">
        <v>73</v>
      </c>
      <c r="BF17" s="169" t="s">
        <v>73</v>
      </c>
      <c r="BG17" s="169" t="s">
        <v>73</v>
      </c>
      <c r="BH17" s="169" t="s">
        <v>73</v>
      </c>
      <c r="BI17" s="169" t="s">
        <v>73</v>
      </c>
      <c r="BJ17" s="169" t="s">
        <v>73</v>
      </c>
      <c r="BK17" s="169"/>
      <c r="BL17" s="169" t="s">
        <v>73</v>
      </c>
      <c r="BM17" s="169" t="s">
        <v>73</v>
      </c>
      <c r="BN17" s="169" t="s">
        <v>73</v>
      </c>
      <c r="BO17" s="169" t="s">
        <v>73</v>
      </c>
      <c r="BP17" s="169" t="s">
        <v>73</v>
      </c>
      <c r="BQ17" s="169" t="s">
        <v>73</v>
      </c>
      <c r="BR17" s="1"/>
      <c r="BS17" s="169" t="s">
        <v>73</v>
      </c>
      <c r="BT17" s="169" t="s">
        <v>73</v>
      </c>
      <c r="BU17" s="169" t="s">
        <v>73</v>
      </c>
      <c r="BV17" s="169" t="s">
        <v>73</v>
      </c>
      <c r="BW17" s="1"/>
      <c r="BX17" s="1"/>
      <c r="BY17" s="1"/>
      <c r="BZ17" s="1"/>
      <c r="CA17" s="1"/>
      <c r="CB17" s="1"/>
      <c r="CC17" s="1"/>
      <c r="CD17" s="1"/>
      <c r="CE17" s="1"/>
      <c r="CF17" s="1"/>
      <c r="CG17" s="1"/>
      <c r="DC17" s="5"/>
      <c r="DD17" s="5"/>
      <c r="DI17" s="61"/>
      <c r="DL17"/>
      <c r="DM17"/>
      <c r="DN17"/>
      <c r="DO17"/>
      <c r="DP17"/>
      <c r="DQ17"/>
      <c r="DR17"/>
      <c r="DS17"/>
      <c r="DT17"/>
      <c r="DU17"/>
      <c r="DV17"/>
      <c r="DW17"/>
      <c r="EC17" s="1"/>
      <c r="ED17" s="1"/>
      <c r="EE17" s="1"/>
      <c r="EF17" s="1"/>
      <c r="EG17" s="1"/>
      <c r="EH17" s="1"/>
      <c r="EI17" s="1"/>
      <c r="EJ17" s="1"/>
      <c r="EO17"/>
      <c r="EP17"/>
      <c r="EQ17"/>
      <c r="ER17"/>
      <c r="ES17"/>
      <c r="ET17"/>
      <c r="EU17"/>
      <c r="EV17"/>
    </row>
    <row r="18" spans="1:152" ht="16" x14ac:dyDescent="0.2">
      <c r="A18" s="168" t="s">
        <v>138</v>
      </c>
      <c r="B18" s="168" t="s">
        <v>153</v>
      </c>
      <c r="C18" s="168" t="s">
        <v>154</v>
      </c>
      <c r="D18" s="169" t="s">
        <v>73</v>
      </c>
      <c r="E18" s="169" t="s">
        <v>72</v>
      </c>
      <c r="F18" s="169" t="s">
        <v>73</v>
      </c>
      <c r="G18" s="169" t="s">
        <v>73</v>
      </c>
      <c r="H18" s="169"/>
      <c r="I18" s="169"/>
      <c r="N18" s="169"/>
      <c r="O18" s="169"/>
      <c r="P18" s="169"/>
      <c r="Q18" s="169" t="s">
        <v>73</v>
      </c>
      <c r="R18" s="169" t="s">
        <v>73</v>
      </c>
      <c r="S18" s="169" t="s">
        <v>73</v>
      </c>
      <c r="T18" s="1"/>
      <c r="U18" s="1"/>
      <c r="V18" s="1"/>
      <c r="W18" s="1"/>
      <c r="X18" s="1"/>
      <c r="Y18" s="1"/>
      <c r="Z18" s="169" t="s">
        <v>73</v>
      </c>
      <c r="AA18" s="169" t="s">
        <v>73</v>
      </c>
      <c r="AC18" s="1">
        <v>5</v>
      </c>
      <c r="AE18" s="1"/>
      <c r="AF18" s="1"/>
      <c r="AG18">
        <v>4</v>
      </c>
      <c r="AK18" s="169" t="s">
        <v>73</v>
      </c>
      <c r="AL18" s="169" t="s">
        <v>73</v>
      </c>
      <c r="AN18" s="169" t="s">
        <v>73</v>
      </c>
      <c r="AP18" s="169" t="s">
        <v>73</v>
      </c>
      <c r="AR18" s="169" t="s">
        <v>73</v>
      </c>
      <c r="AT18" s="168" t="s">
        <v>73</v>
      </c>
      <c r="AW18" s="1">
        <v>35</v>
      </c>
      <c r="AX18" s="1">
        <v>10</v>
      </c>
      <c r="AY18" s="169" t="s">
        <v>72</v>
      </c>
      <c r="AZ18" s="169" t="s">
        <v>73</v>
      </c>
      <c r="BA18" s="170" t="s">
        <v>73</v>
      </c>
      <c r="BB18" s="169">
        <v>1838</v>
      </c>
      <c r="BC18" s="102">
        <v>45641.533518518518</v>
      </c>
      <c r="BD18" s="87">
        <v>45641.491851851853</v>
      </c>
      <c r="BE18" s="169" t="s">
        <v>73</v>
      </c>
      <c r="BF18" s="169" t="s">
        <v>73</v>
      </c>
      <c r="BG18" s="169" t="s">
        <v>73</v>
      </c>
      <c r="BH18" s="169" t="s">
        <v>73</v>
      </c>
      <c r="BI18" s="169" t="s">
        <v>73</v>
      </c>
      <c r="BJ18" s="169" t="s">
        <v>73</v>
      </c>
      <c r="BK18" s="169"/>
      <c r="BL18" s="169" t="s">
        <v>73</v>
      </c>
      <c r="BM18" s="169" t="s">
        <v>73</v>
      </c>
      <c r="BN18" s="169" t="s">
        <v>73</v>
      </c>
      <c r="BO18" s="169" t="s">
        <v>73</v>
      </c>
      <c r="BP18" s="169" t="s">
        <v>73</v>
      </c>
      <c r="BQ18" s="169" t="s">
        <v>73</v>
      </c>
      <c r="BR18" s="1"/>
      <c r="BS18" s="169" t="s">
        <v>73</v>
      </c>
      <c r="BT18" s="169" t="s">
        <v>73</v>
      </c>
      <c r="BU18" s="169" t="s">
        <v>73</v>
      </c>
      <c r="BV18" s="169" t="s">
        <v>73</v>
      </c>
      <c r="BW18" s="1"/>
      <c r="BX18" s="1"/>
      <c r="BY18" s="1"/>
      <c r="BZ18" s="1"/>
      <c r="CA18" s="1"/>
      <c r="CB18" s="1"/>
      <c r="CC18" s="1"/>
      <c r="CD18" s="1"/>
      <c r="CE18" s="1"/>
      <c r="CF18" s="1"/>
      <c r="CG18" s="1"/>
      <c r="DC18" s="5"/>
      <c r="DD18" s="5"/>
      <c r="DI18" s="61"/>
      <c r="DL18"/>
      <c r="DM18"/>
      <c r="DN18"/>
      <c r="DO18"/>
      <c r="DP18"/>
      <c r="DQ18"/>
      <c r="DR18"/>
      <c r="DS18"/>
      <c r="DT18"/>
      <c r="DU18"/>
      <c r="DV18"/>
      <c r="DW18"/>
      <c r="EC18" s="1"/>
      <c r="ED18" s="1"/>
      <c r="EE18" s="1"/>
      <c r="EF18" s="1"/>
      <c r="EG18" s="1"/>
      <c r="EH18" s="1"/>
      <c r="EI18" s="1"/>
      <c r="EJ18" s="1"/>
      <c r="EO18"/>
      <c r="EP18"/>
      <c r="EQ18"/>
      <c r="ER18"/>
      <c r="ES18"/>
      <c r="ET18"/>
      <c r="EU18"/>
      <c r="EV18"/>
    </row>
    <row r="19" spans="1:152" ht="16" x14ac:dyDescent="0.2">
      <c r="A19" s="168" t="s">
        <v>138</v>
      </c>
      <c r="B19" s="168" t="s">
        <v>172</v>
      </c>
      <c r="C19" s="168" t="s">
        <v>168</v>
      </c>
      <c r="D19" s="169" t="s">
        <v>73</v>
      </c>
      <c r="E19" s="169" t="s">
        <v>72</v>
      </c>
      <c r="F19" s="169" t="s">
        <v>72</v>
      </c>
      <c r="G19" s="169" t="s">
        <v>73</v>
      </c>
      <c r="H19" s="169" t="s">
        <v>72</v>
      </c>
      <c r="I19" s="169">
        <v>10</v>
      </c>
      <c r="J19">
        <v>3</v>
      </c>
      <c r="L19">
        <v>6</v>
      </c>
      <c r="N19" s="169"/>
      <c r="O19" s="169"/>
      <c r="P19" s="169"/>
      <c r="Q19" s="169" t="s">
        <v>73</v>
      </c>
      <c r="R19" s="169" t="s">
        <v>73</v>
      </c>
      <c r="S19" s="169" t="s">
        <v>73</v>
      </c>
      <c r="T19" s="1"/>
      <c r="U19" s="1"/>
      <c r="V19" s="1"/>
      <c r="W19" s="1"/>
      <c r="X19" s="1"/>
      <c r="Y19" s="1"/>
      <c r="Z19" s="169" t="s">
        <v>73</v>
      </c>
      <c r="AA19" s="169" t="s">
        <v>73</v>
      </c>
      <c r="AB19">
        <v>1</v>
      </c>
      <c r="AC19" s="1">
        <v>11</v>
      </c>
      <c r="AE19" s="1"/>
      <c r="AF19" s="1">
        <v>4</v>
      </c>
      <c r="AG19">
        <v>11</v>
      </c>
      <c r="AJ19">
        <v>4</v>
      </c>
      <c r="AK19" s="169" t="s">
        <v>73</v>
      </c>
      <c r="AL19" s="169" t="s">
        <v>73</v>
      </c>
      <c r="AN19" s="169" t="s">
        <v>73</v>
      </c>
      <c r="AP19" s="169" t="s">
        <v>73</v>
      </c>
      <c r="AR19" s="169" t="s">
        <v>73</v>
      </c>
      <c r="AT19" s="168" t="s">
        <v>73</v>
      </c>
      <c r="AW19" s="1">
        <v>105</v>
      </c>
      <c r="AX19" s="1">
        <v>26</v>
      </c>
      <c r="AY19" s="169" t="s">
        <v>73</v>
      </c>
      <c r="AZ19" s="169" t="s">
        <v>73</v>
      </c>
      <c r="BA19" s="170" t="s">
        <v>73</v>
      </c>
      <c r="BB19" s="169">
        <v>1834</v>
      </c>
      <c r="BC19" s="102">
        <v>45639.400671296295</v>
      </c>
      <c r="BD19" s="87">
        <v>45639.35900462963</v>
      </c>
      <c r="BE19" s="169" t="s">
        <v>73</v>
      </c>
      <c r="BF19" s="169" t="s">
        <v>73</v>
      </c>
      <c r="BG19" s="169" t="s">
        <v>73</v>
      </c>
      <c r="BH19" s="169" t="s">
        <v>73</v>
      </c>
      <c r="BI19" s="169" t="s">
        <v>73</v>
      </c>
      <c r="BJ19" s="169" t="s">
        <v>73</v>
      </c>
      <c r="BK19" s="169"/>
      <c r="BL19" s="169" t="s">
        <v>73</v>
      </c>
      <c r="BM19" s="169" t="s">
        <v>73</v>
      </c>
      <c r="BN19" s="169" t="s">
        <v>73</v>
      </c>
      <c r="BO19" s="169" t="s">
        <v>73</v>
      </c>
      <c r="BP19" s="169" t="s">
        <v>73</v>
      </c>
      <c r="BQ19" s="169" t="s">
        <v>73</v>
      </c>
      <c r="BR19" s="1"/>
      <c r="BS19" s="169" t="s">
        <v>169</v>
      </c>
      <c r="BT19" s="169" t="s">
        <v>196</v>
      </c>
      <c r="BU19" s="169" t="s">
        <v>197</v>
      </c>
      <c r="BV19" s="169" t="s">
        <v>198</v>
      </c>
      <c r="BW19" s="1">
        <v>16</v>
      </c>
      <c r="BX19" s="1"/>
      <c r="BY19" s="1"/>
      <c r="BZ19" s="1"/>
      <c r="CA19" s="1"/>
      <c r="CB19" s="1"/>
      <c r="CC19" s="1"/>
      <c r="CD19" s="1"/>
      <c r="CE19" s="1"/>
      <c r="CF19" s="1"/>
      <c r="CG19" s="1"/>
      <c r="DC19" s="5"/>
      <c r="DD19" s="5"/>
      <c r="DI19" s="61"/>
      <c r="DL19"/>
      <c r="DM19"/>
      <c r="DN19"/>
      <c r="DO19"/>
      <c r="DP19"/>
      <c r="DQ19"/>
      <c r="DR19"/>
      <c r="DS19"/>
      <c r="DT19"/>
      <c r="DU19"/>
      <c r="DV19"/>
      <c r="DW19"/>
      <c r="EC19" s="1"/>
      <c r="ED19" s="1"/>
      <c r="EE19" s="1"/>
      <c r="EF19" s="1"/>
      <c r="EG19" s="1"/>
      <c r="EH19" s="1"/>
      <c r="EI19" s="1"/>
      <c r="EJ19" s="1"/>
      <c r="EO19"/>
      <c r="EP19"/>
      <c r="EQ19"/>
      <c r="ER19"/>
      <c r="ES19"/>
      <c r="ET19"/>
      <c r="EU19"/>
      <c r="EV19"/>
    </row>
    <row r="20" spans="1:152" ht="80" x14ac:dyDescent="0.2">
      <c r="A20" s="168" t="s">
        <v>138</v>
      </c>
      <c r="B20" s="168" t="s">
        <v>179</v>
      </c>
      <c r="C20" s="168" t="s">
        <v>166</v>
      </c>
      <c r="D20" s="169" t="s">
        <v>73</v>
      </c>
      <c r="E20" s="169" t="s">
        <v>72</v>
      </c>
      <c r="F20" s="169" t="s">
        <v>72</v>
      </c>
      <c r="G20" s="169" t="s">
        <v>73</v>
      </c>
      <c r="H20" s="169"/>
      <c r="I20" s="169"/>
      <c r="L20">
        <v>6</v>
      </c>
      <c r="N20" s="169"/>
      <c r="O20" s="169"/>
      <c r="P20" s="169"/>
      <c r="Q20" s="169" t="s">
        <v>73</v>
      </c>
      <c r="R20" s="169" t="s">
        <v>73</v>
      </c>
      <c r="S20" s="169" t="s">
        <v>73</v>
      </c>
      <c r="T20" s="1"/>
      <c r="U20" s="1">
        <v>1</v>
      </c>
      <c r="V20" s="1">
        <v>5</v>
      </c>
      <c r="W20" s="1"/>
      <c r="X20" s="1">
        <v>1</v>
      </c>
      <c r="Y20" s="1">
        <v>5</v>
      </c>
      <c r="Z20" s="169" t="s">
        <v>72</v>
      </c>
      <c r="AA20" s="169" t="s">
        <v>73</v>
      </c>
      <c r="AC20" s="1"/>
      <c r="AE20" s="1"/>
      <c r="AF20" s="1"/>
      <c r="AK20" s="169" t="s">
        <v>73</v>
      </c>
      <c r="AL20" s="169" t="s">
        <v>73</v>
      </c>
      <c r="AN20" s="169" t="s">
        <v>73</v>
      </c>
      <c r="AP20" s="169" t="s">
        <v>73</v>
      </c>
      <c r="AR20" s="169" t="s">
        <v>73</v>
      </c>
      <c r="AT20" s="168" t="s">
        <v>72</v>
      </c>
      <c r="AU20">
        <v>3</v>
      </c>
      <c r="AW20" s="1">
        <v>42</v>
      </c>
      <c r="AX20" s="1">
        <v>42</v>
      </c>
      <c r="AY20" s="169" t="s">
        <v>73</v>
      </c>
      <c r="AZ20" s="169" t="s">
        <v>73</v>
      </c>
      <c r="BA20" s="170" t="s">
        <v>160</v>
      </c>
      <c r="BB20" s="169">
        <v>1830</v>
      </c>
      <c r="BC20" s="102">
        <v>45639.325312499997</v>
      </c>
      <c r="BD20" s="87">
        <v>45639.283645833333</v>
      </c>
      <c r="BE20" s="169" t="s">
        <v>166</v>
      </c>
      <c r="BF20" s="169" t="s">
        <v>78</v>
      </c>
      <c r="BG20" s="169" t="s">
        <v>161</v>
      </c>
      <c r="BH20" s="169" t="s">
        <v>162</v>
      </c>
      <c r="BI20" s="169" t="s">
        <v>171</v>
      </c>
      <c r="BJ20" s="169" t="s">
        <v>171</v>
      </c>
      <c r="BK20" s="169">
        <v>23</v>
      </c>
      <c r="BL20" s="169" t="s">
        <v>73</v>
      </c>
      <c r="BM20" s="169" t="s">
        <v>73</v>
      </c>
      <c r="BN20" s="169" t="s">
        <v>73</v>
      </c>
      <c r="BO20" s="169" t="s">
        <v>73</v>
      </c>
      <c r="BP20" s="169" t="s">
        <v>73</v>
      </c>
      <c r="BQ20" s="169" t="s">
        <v>73</v>
      </c>
      <c r="BR20" s="1"/>
      <c r="BS20" s="169" t="s">
        <v>73</v>
      </c>
      <c r="BT20" s="169" t="s">
        <v>73</v>
      </c>
      <c r="BU20" s="169" t="s">
        <v>73</v>
      </c>
      <c r="BV20" s="169" t="s">
        <v>73</v>
      </c>
      <c r="BW20" s="1"/>
      <c r="BX20" s="1"/>
      <c r="BY20" s="1"/>
      <c r="BZ20" s="1"/>
      <c r="CA20" s="1"/>
      <c r="CB20" s="1"/>
      <c r="CC20" s="1"/>
      <c r="CD20" s="1"/>
      <c r="CE20" s="1"/>
      <c r="CF20" s="1"/>
      <c r="CG20" s="1"/>
      <c r="DC20" s="5"/>
      <c r="DD20" s="5"/>
      <c r="DI20" s="61"/>
      <c r="DL20"/>
      <c r="DM20"/>
      <c r="DN20"/>
      <c r="DO20"/>
      <c r="DP20"/>
      <c r="DQ20"/>
      <c r="DR20"/>
      <c r="DS20"/>
      <c r="DT20"/>
      <c r="DU20"/>
      <c r="DV20"/>
      <c r="DW20"/>
      <c r="EC20" s="1"/>
      <c r="ED20" s="1"/>
      <c r="EE20" s="1"/>
      <c r="EF20" s="1"/>
      <c r="EG20" s="1"/>
      <c r="EH20" s="1"/>
      <c r="EI20" s="1"/>
      <c r="EJ20" s="1"/>
      <c r="EO20"/>
      <c r="EP20"/>
      <c r="EQ20"/>
      <c r="ER20"/>
      <c r="ES20"/>
      <c r="ET20"/>
      <c r="EU20"/>
      <c r="EV20"/>
    </row>
    <row r="21" spans="1:152" ht="80" x14ac:dyDescent="0.2">
      <c r="A21" s="168" t="s">
        <v>138</v>
      </c>
      <c r="B21" s="168" t="s">
        <v>181</v>
      </c>
      <c r="C21" s="168" t="s">
        <v>159</v>
      </c>
      <c r="D21" s="169" t="s">
        <v>73</v>
      </c>
      <c r="E21" s="169" t="s">
        <v>72</v>
      </c>
      <c r="F21" s="169" t="s">
        <v>73</v>
      </c>
      <c r="G21" s="169" t="s">
        <v>73</v>
      </c>
      <c r="H21" s="169"/>
      <c r="I21" s="169">
        <v>7</v>
      </c>
      <c r="N21" s="169"/>
      <c r="O21" s="169"/>
      <c r="P21" s="169"/>
      <c r="Q21" s="169" t="s">
        <v>73</v>
      </c>
      <c r="R21" s="169" t="s">
        <v>73</v>
      </c>
      <c r="S21" s="169" t="s">
        <v>73</v>
      </c>
      <c r="T21" s="1">
        <v>1</v>
      </c>
      <c r="U21" s="1"/>
      <c r="V21" s="1"/>
      <c r="W21" s="1">
        <v>1</v>
      </c>
      <c r="X21" s="1"/>
      <c r="Y21" s="1"/>
      <c r="Z21" s="169" t="s">
        <v>72</v>
      </c>
      <c r="AA21" s="169" t="s">
        <v>73</v>
      </c>
      <c r="AC21" s="1"/>
      <c r="AE21" s="1"/>
      <c r="AF21" s="1"/>
      <c r="AK21" s="169" t="s">
        <v>73</v>
      </c>
      <c r="AL21" s="169" t="s">
        <v>72</v>
      </c>
      <c r="AM21" s="1">
        <v>6</v>
      </c>
      <c r="AN21" s="169" t="s">
        <v>72</v>
      </c>
      <c r="AO21" s="1">
        <v>6</v>
      </c>
      <c r="AP21" s="169" t="s">
        <v>73</v>
      </c>
      <c r="AR21" s="169" t="s">
        <v>72</v>
      </c>
      <c r="AS21" s="1">
        <v>6</v>
      </c>
      <c r="AT21" s="168" t="s">
        <v>73</v>
      </c>
      <c r="AW21" s="1">
        <v>90</v>
      </c>
      <c r="AX21" s="1">
        <v>0</v>
      </c>
      <c r="AY21" s="169" t="s">
        <v>73</v>
      </c>
      <c r="AZ21" s="169" t="s">
        <v>73</v>
      </c>
      <c r="BA21" s="170" t="s">
        <v>160</v>
      </c>
      <c r="BB21" s="169">
        <v>1826</v>
      </c>
      <c r="BC21" s="102">
        <v>45637.588495370372</v>
      </c>
      <c r="BD21" s="87">
        <v>45637.5468287037</v>
      </c>
      <c r="BE21" s="169" t="s">
        <v>159</v>
      </c>
      <c r="BF21" s="169" t="s">
        <v>78</v>
      </c>
      <c r="BG21" s="169" t="s">
        <v>161</v>
      </c>
      <c r="BH21" s="169" t="s">
        <v>162</v>
      </c>
      <c r="BI21" s="169" t="s">
        <v>163</v>
      </c>
      <c r="BJ21" s="169" t="s">
        <v>163</v>
      </c>
      <c r="BK21" s="169">
        <v>62</v>
      </c>
      <c r="BL21" s="169" t="s">
        <v>73</v>
      </c>
      <c r="BM21" s="169" t="s">
        <v>73</v>
      </c>
      <c r="BN21" s="169" t="s">
        <v>73</v>
      </c>
      <c r="BO21" s="169" t="s">
        <v>73</v>
      </c>
      <c r="BP21" s="169" t="s">
        <v>73</v>
      </c>
      <c r="BQ21" s="169" t="s">
        <v>73</v>
      </c>
      <c r="BR21" s="1"/>
      <c r="BS21" s="169" t="s">
        <v>73</v>
      </c>
      <c r="BT21" s="169" t="s">
        <v>73</v>
      </c>
      <c r="BU21" s="169" t="s">
        <v>73</v>
      </c>
      <c r="BV21" s="169" t="s">
        <v>73</v>
      </c>
      <c r="BW21" s="1"/>
      <c r="BX21" s="1"/>
      <c r="BY21" s="1"/>
      <c r="BZ21" s="1"/>
      <c r="CA21" s="1"/>
      <c r="CB21" s="1"/>
      <c r="CC21" s="1"/>
      <c r="CD21" s="1"/>
      <c r="CE21" s="1"/>
      <c r="CF21" s="1"/>
      <c r="CG21" s="1"/>
      <c r="DC21" s="5"/>
      <c r="DD21" s="5"/>
      <c r="DI21" s="61"/>
      <c r="DL21"/>
      <c r="DM21"/>
      <c r="DN21"/>
      <c r="DO21"/>
      <c r="DP21"/>
      <c r="DQ21"/>
      <c r="DR21"/>
      <c r="DS21"/>
      <c r="DT21"/>
      <c r="DU21"/>
      <c r="DV21"/>
      <c r="DW21"/>
      <c r="EC21" s="1"/>
      <c r="ED21" s="1"/>
      <c r="EE21" s="1"/>
      <c r="EF21" s="1"/>
      <c r="EG21" s="1"/>
      <c r="EH21" s="1"/>
      <c r="EI21" s="1"/>
      <c r="EJ21" s="1"/>
      <c r="EO21"/>
      <c r="EP21"/>
      <c r="EQ21"/>
      <c r="ER21"/>
      <c r="ES21"/>
      <c r="ET21"/>
      <c r="EU21"/>
      <c r="EV21"/>
    </row>
    <row r="22" spans="1:152" ht="64" x14ac:dyDescent="0.2">
      <c r="A22" s="168" t="s">
        <v>138</v>
      </c>
      <c r="B22" s="168" t="s">
        <v>175</v>
      </c>
      <c r="C22" s="168" t="s">
        <v>164</v>
      </c>
      <c r="D22" s="169" t="s">
        <v>73</v>
      </c>
      <c r="E22" s="169" t="s">
        <v>72</v>
      </c>
      <c r="F22" s="169" t="s">
        <v>73</v>
      </c>
      <c r="G22" s="169" t="s">
        <v>73</v>
      </c>
      <c r="H22" s="169"/>
      <c r="I22" s="169">
        <v>8</v>
      </c>
      <c r="N22" s="169"/>
      <c r="O22" s="169"/>
      <c r="P22" s="169"/>
      <c r="Q22" s="169" t="s">
        <v>73</v>
      </c>
      <c r="R22" s="169" t="s">
        <v>73</v>
      </c>
      <c r="S22" s="169" t="s">
        <v>73</v>
      </c>
      <c r="T22" s="1"/>
      <c r="U22" s="1"/>
      <c r="V22" s="1"/>
      <c r="W22" s="1"/>
      <c r="X22" s="1"/>
      <c r="Y22" s="1"/>
      <c r="Z22" s="169" t="s">
        <v>73</v>
      </c>
      <c r="AA22" s="169" t="s">
        <v>73</v>
      </c>
      <c r="AC22" s="1"/>
      <c r="AE22" s="1"/>
      <c r="AF22" s="1"/>
      <c r="AK22" s="169" t="s">
        <v>73</v>
      </c>
      <c r="AL22" s="169" t="s">
        <v>73</v>
      </c>
      <c r="AN22" s="169" t="s">
        <v>73</v>
      </c>
      <c r="AP22" s="169" t="s">
        <v>73</v>
      </c>
      <c r="AR22" s="169" t="s">
        <v>73</v>
      </c>
      <c r="AT22" s="168" t="s">
        <v>73</v>
      </c>
      <c r="AW22" s="1">
        <v>10</v>
      </c>
      <c r="AX22" s="1">
        <v>0</v>
      </c>
      <c r="AY22" s="169" t="s">
        <v>73</v>
      </c>
      <c r="AZ22" s="169" t="s">
        <v>73</v>
      </c>
      <c r="BA22" s="170" t="s">
        <v>165</v>
      </c>
      <c r="BB22" s="169">
        <v>1822</v>
      </c>
      <c r="BC22" s="102">
        <v>45635.787199074075</v>
      </c>
      <c r="BD22" s="87">
        <v>45635.745532407411</v>
      </c>
      <c r="BE22" s="169" t="s">
        <v>73</v>
      </c>
      <c r="BF22" s="169" t="s">
        <v>73</v>
      </c>
      <c r="BG22" s="169" t="s">
        <v>73</v>
      </c>
      <c r="BH22" s="169" t="s">
        <v>73</v>
      </c>
      <c r="BI22" s="169" t="s">
        <v>73</v>
      </c>
      <c r="BJ22" s="169" t="s">
        <v>73</v>
      </c>
      <c r="BK22" s="169"/>
      <c r="BL22" s="169" t="s">
        <v>73</v>
      </c>
      <c r="BM22" s="169" t="s">
        <v>73</v>
      </c>
      <c r="BN22" s="169" t="s">
        <v>73</v>
      </c>
      <c r="BO22" s="169" t="s">
        <v>73</v>
      </c>
      <c r="BP22" s="169" t="s">
        <v>73</v>
      </c>
      <c r="BQ22" s="169" t="s">
        <v>73</v>
      </c>
      <c r="BR22" s="1"/>
      <c r="BS22" s="169" t="s">
        <v>73</v>
      </c>
      <c r="BT22" s="169" t="s">
        <v>73</v>
      </c>
      <c r="BU22" s="169" t="s">
        <v>73</v>
      </c>
      <c r="BV22" s="169" t="s">
        <v>73</v>
      </c>
      <c r="BW22" s="1"/>
      <c r="BX22" s="1"/>
      <c r="BY22" s="1"/>
      <c r="BZ22" s="1"/>
      <c r="CA22" s="1"/>
      <c r="CB22" s="1"/>
      <c r="CC22" s="1"/>
      <c r="CD22" s="1"/>
      <c r="CE22" s="1"/>
      <c r="CF22" s="1"/>
      <c r="CG22" s="1"/>
      <c r="DC22" s="5"/>
      <c r="DD22" s="5"/>
      <c r="DI22" s="61"/>
      <c r="DL22"/>
      <c r="DM22"/>
      <c r="DN22"/>
      <c r="DO22"/>
      <c r="DP22"/>
      <c r="DQ22"/>
      <c r="DR22"/>
      <c r="DS22"/>
      <c r="DT22"/>
      <c r="DU22"/>
      <c r="DV22"/>
      <c r="DW22"/>
      <c r="EC22" s="1"/>
      <c r="ED22" s="1"/>
      <c r="EE22" s="1"/>
      <c r="EF22" s="1"/>
      <c r="EG22" s="1"/>
      <c r="EH22" s="1"/>
      <c r="EI22" s="1"/>
      <c r="EJ22" s="1"/>
      <c r="EO22"/>
      <c r="EP22"/>
      <c r="EQ22"/>
      <c r="ER22"/>
      <c r="ES22"/>
      <c r="ET22"/>
      <c r="EU22"/>
      <c r="EV22"/>
    </row>
    <row r="23" spans="1:152" ht="16" x14ac:dyDescent="0.2">
      <c r="A23" s="168" t="s">
        <v>138</v>
      </c>
      <c r="B23" s="168" t="s">
        <v>182</v>
      </c>
      <c r="C23" s="168" t="s">
        <v>150</v>
      </c>
      <c r="D23" s="169" t="s">
        <v>73</v>
      </c>
      <c r="E23" s="169" t="s">
        <v>72</v>
      </c>
      <c r="F23" s="169" t="s">
        <v>72</v>
      </c>
      <c r="G23" s="169" t="s">
        <v>73</v>
      </c>
      <c r="H23" s="169"/>
      <c r="I23" s="169">
        <v>3</v>
      </c>
      <c r="N23" s="169"/>
      <c r="O23" s="169"/>
      <c r="P23" s="169"/>
      <c r="Q23" s="169" t="s">
        <v>73</v>
      </c>
      <c r="R23" s="169" t="s">
        <v>73</v>
      </c>
      <c r="S23" s="169" t="s">
        <v>73</v>
      </c>
      <c r="T23" s="1"/>
      <c r="U23" s="1"/>
      <c r="V23" s="1"/>
      <c r="W23" s="1"/>
      <c r="X23" s="1"/>
      <c r="Y23" s="1"/>
      <c r="Z23" s="169" t="s">
        <v>73</v>
      </c>
      <c r="AA23" s="169" t="s">
        <v>73</v>
      </c>
      <c r="AC23" s="1"/>
      <c r="AE23" s="1"/>
      <c r="AF23" s="1"/>
      <c r="AK23" s="169" t="s">
        <v>73</v>
      </c>
      <c r="AL23" s="169" t="s">
        <v>72</v>
      </c>
      <c r="AM23" s="1">
        <v>6</v>
      </c>
      <c r="AN23" s="169" t="s">
        <v>72</v>
      </c>
      <c r="AO23" s="1">
        <v>6</v>
      </c>
      <c r="AP23" s="169" t="s">
        <v>73</v>
      </c>
      <c r="AR23" s="169" t="s">
        <v>72</v>
      </c>
      <c r="AS23" s="1">
        <v>3</v>
      </c>
      <c r="AT23" s="168" t="s">
        <v>73</v>
      </c>
      <c r="AW23" s="1">
        <v>30</v>
      </c>
      <c r="AX23" s="1">
        <v>2</v>
      </c>
      <c r="AY23" s="169" t="s">
        <v>73</v>
      </c>
      <c r="AZ23" s="169" t="s">
        <v>73</v>
      </c>
      <c r="BA23" s="170" t="s">
        <v>73</v>
      </c>
      <c r="BB23" s="169">
        <v>1819</v>
      </c>
      <c r="BC23" s="102">
        <v>45634.99622685185</v>
      </c>
      <c r="BD23" s="87">
        <v>45634.954560185186</v>
      </c>
      <c r="BE23" s="169" t="s">
        <v>73</v>
      </c>
      <c r="BF23" s="169" t="s">
        <v>73</v>
      </c>
      <c r="BG23" s="169" t="s">
        <v>73</v>
      </c>
      <c r="BH23" s="169" t="s">
        <v>73</v>
      </c>
      <c r="BI23" s="169" t="s">
        <v>73</v>
      </c>
      <c r="BJ23" s="169" t="s">
        <v>73</v>
      </c>
      <c r="BK23" s="169"/>
      <c r="BL23" s="169" t="s">
        <v>73</v>
      </c>
      <c r="BM23" s="169" t="s">
        <v>73</v>
      </c>
      <c r="BN23" s="169" t="s">
        <v>73</v>
      </c>
      <c r="BO23" s="169" t="s">
        <v>73</v>
      </c>
      <c r="BP23" s="169" t="s">
        <v>73</v>
      </c>
      <c r="BQ23" s="169" t="s">
        <v>73</v>
      </c>
      <c r="BR23" s="1"/>
      <c r="BS23" s="169" t="s">
        <v>73</v>
      </c>
      <c r="BT23" s="169" t="s">
        <v>73</v>
      </c>
      <c r="BU23" s="169" t="s">
        <v>73</v>
      </c>
      <c r="BV23" s="169" t="s">
        <v>73</v>
      </c>
      <c r="BW23" s="1"/>
      <c r="BX23" s="1"/>
      <c r="BY23" s="1"/>
      <c r="BZ23" s="1"/>
      <c r="CA23" s="1"/>
      <c r="CB23" s="1"/>
      <c r="CC23" s="1"/>
      <c r="CD23" s="1"/>
      <c r="CE23" s="1"/>
      <c r="CF23" s="1"/>
      <c r="CG23" s="1"/>
      <c r="DC23" s="5"/>
      <c r="DD23" s="5"/>
      <c r="DI23" s="61"/>
      <c r="DL23"/>
      <c r="DM23"/>
      <c r="DN23"/>
      <c r="DO23"/>
      <c r="DP23"/>
      <c r="DQ23"/>
      <c r="DR23"/>
      <c r="DS23"/>
      <c r="DT23"/>
      <c r="DU23"/>
      <c r="DV23"/>
      <c r="DW23"/>
      <c r="EC23" s="1"/>
      <c r="ED23" s="1"/>
      <c r="EE23" s="1"/>
      <c r="EF23" s="1"/>
      <c r="EG23" s="1"/>
      <c r="EH23" s="1"/>
      <c r="EI23" s="1"/>
      <c r="EJ23" s="1"/>
      <c r="EO23"/>
      <c r="EP23"/>
      <c r="EQ23"/>
      <c r="ER23"/>
      <c r="ES23"/>
      <c r="ET23"/>
      <c r="EU23"/>
      <c r="EV23"/>
    </row>
    <row r="24" spans="1:152" ht="16" x14ac:dyDescent="0.2">
      <c r="A24" s="168" t="s">
        <v>138</v>
      </c>
      <c r="B24" s="168" t="s">
        <v>183</v>
      </c>
      <c r="C24" s="168" t="s">
        <v>137</v>
      </c>
      <c r="D24" s="169" t="s">
        <v>73</v>
      </c>
      <c r="E24" s="169" t="s">
        <v>72</v>
      </c>
      <c r="F24" s="169" t="s">
        <v>72</v>
      </c>
      <c r="G24" s="169" t="s">
        <v>73</v>
      </c>
      <c r="H24" s="169"/>
      <c r="I24" s="169"/>
      <c r="N24" s="169"/>
      <c r="O24" s="169"/>
      <c r="P24" s="169"/>
      <c r="Q24" s="169" t="s">
        <v>73</v>
      </c>
      <c r="R24" s="169" t="s">
        <v>73</v>
      </c>
      <c r="S24" s="169" t="s">
        <v>73</v>
      </c>
      <c r="T24" s="1"/>
      <c r="U24" s="1"/>
      <c r="V24" s="1"/>
      <c r="W24" s="1"/>
      <c r="X24" s="1"/>
      <c r="Y24" s="1"/>
      <c r="Z24" s="169" t="s">
        <v>73</v>
      </c>
      <c r="AA24" s="169" t="s">
        <v>73</v>
      </c>
      <c r="AC24" s="1"/>
      <c r="AE24" s="1"/>
      <c r="AF24" s="1"/>
      <c r="AK24" s="169" t="s">
        <v>73</v>
      </c>
      <c r="AL24" s="169" t="s">
        <v>72</v>
      </c>
      <c r="AM24" s="1">
        <v>6</v>
      </c>
      <c r="AN24" s="169" t="s">
        <v>72</v>
      </c>
      <c r="AO24" s="1">
        <v>4</v>
      </c>
      <c r="AP24" s="169" t="s">
        <v>73</v>
      </c>
      <c r="AR24" s="169" t="s">
        <v>72</v>
      </c>
      <c r="AS24" s="1">
        <v>5</v>
      </c>
      <c r="AT24" s="168" t="s">
        <v>73</v>
      </c>
      <c r="AW24" s="1">
        <v>16</v>
      </c>
      <c r="AX24" s="1">
        <v>1</v>
      </c>
      <c r="AY24" s="169" t="s">
        <v>73</v>
      </c>
      <c r="AZ24" s="169" t="s">
        <v>73</v>
      </c>
      <c r="BA24" s="170" t="s">
        <v>73</v>
      </c>
      <c r="BB24" s="169">
        <v>1813</v>
      </c>
      <c r="BC24" s="102">
        <v>45630.951053240744</v>
      </c>
      <c r="BD24" s="87">
        <v>45631.712673611109</v>
      </c>
      <c r="BE24" s="169" t="s">
        <v>73</v>
      </c>
      <c r="BF24" s="169" t="s">
        <v>73</v>
      </c>
      <c r="BG24" s="169" t="s">
        <v>73</v>
      </c>
      <c r="BH24" s="169" t="s">
        <v>73</v>
      </c>
      <c r="BI24" s="169" t="s">
        <v>73</v>
      </c>
      <c r="BJ24" s="169" t="s">
        <v>73</v>
      </c>
      <c r="BK24" s="169"/>
      <c r="BL24" s="169" t="s">
        <v>73</v>
      </c>
      <c r="BM24" s="169" t="s">
        <v>73</v>
      </c>
      <c r="BN24" s="169" t="s">
        <v>73</v>
      </c>
      <c r="BO24" s="169" t="s">
        <v>73</v>
      </c>
      <c r="BP24" s="169" t="s">
        <v>73</v>
      </c>
      <c r="BQ24" s="169" t="s">
        <v>73</v>
      </c>
      <c r="BR24" s="1"/>
      <c r="BS24" s="169" t="s">
        <v>73</v>
      </c>
      <c r="BT24" s="169" t="s">
        <v>73</v>
      </c>
      <c r="BU24" s="169" t="s">
        <v>73</v>
      </c>
      <c r="BV24" s="169" t="s">
        <v>73</v>
      </c>
      <c r="BW24" s="1"/>
      <c r="BX24" s="1"/>
      <c r="BY24" s="1"/>
      <c r="BZ24" s="1"/>
      <c r="CA24" s="1"/>
      <c r="CB24" s="1"/>
      <c r="CC24" s="1"/>
      <c r="CD24" s="1"/>
      <c r="CE24" s="1"/>
      <c r="CF24" s="1"/>
      <c r="CG24" s="1"/>
      <c r="DC24" s="5"/>
      <c r="DD24" s="5"/>
      <c r="DI24" s="61"/>
      <c r="DL24"/>
      <c r="DM24"/>
      <c r="DN24"/>
      <c r="DO24"/>
      <c r="DP24"/>
      <c r="DQ24"/>
      <c r="DR24"/>
      <c r="DS24"/>
      <c r="DT24"/>
      <c r="DU24"/>
      <c r="DV24"/>
      <c r="DW24"/>
      <c r="EC24" s="1"/>
      <c r="ED24" s="1"/>
      <c r="EE24" s="1"/>
      <c r="EF24" s="1"/>
      <c r="EG24" s="1"/>
      <c r="EH24" s="1"/>
      <c r="EI24" s="1"/>
      <c r="EJ24" s="1"/>
      <c r="EO24"/>
      <c r="EP24"/>
      <c r="EQ24"/>
      <c r="ER24"/>
      <c r="ES24"/>
      <c r="ET24"/>
      <c r="EU24"/>
      <c r="EV24"/>
    </row>
    <row r="25" spans="1:152" ht="17" thickBot="1" x14ac:dyDescent="0.25">
      <c r="A25" s="168" t="s">
        <v>138</v>
      </c>
      <c r="B25" s="168" t="s">
        <v>178</v>
      </c>
      <c r="C25" s="168" t="s">
        <v>132</v>
      </c>
      <c r="D25" s="169" t="s">
        <v>73</v>
      </c>
      <c r="E25" s="169" t="s">
        <v>72</v>
      </c>
      <c r="F25" s="169" t="s">
        <v>72</v>
      </c>
      <c r="G25" s="169" t="s">
        <v>73</v>
      </c>
      <c r="H25" s="169"/>
      <c r="I25" s="169"/>
      <c r="N25" s="169"/>
      <c r="O25" s="169"/>
      <c r="P25" s="169"/>
      <c r="Q25" s="169" t="s">
        <v>73</v>
      </c>
      <c r="R25" s="169" t="s">
        <v>73</v>
      </c>
      <c r="S25" s="169" t="s">
        <v>73</v>
      </c>
      <c r="T25" s="1"/>
      <c r="U25" s="1"/>
      <c r="V25" s="1"/>
      <c r="W25" s="1"/>
      <c r="X25" s="1"/>
      <c r="Y25" s="1"/>
      <c r="Z25" s="169" t="s">
        <v>73</v>
      </c>
      <c r="AA25" s="169" t="s">
        <v>73</v>
      </c>
      <c r="AC25" s="1"/>
      <c r="AE25" s="1"/>
      <c r="AF25" s="1"/>
      <c r="AK25" s="169" t="s">
        <v>73</v>
      </c>
      <c r="AL25" s="169" t="s">
        <v>72</v>
      </c>
      <c r="AM25" s="1">
        <v>6</v>
      </c>
      <c r="AN25" s="169" t="s">
        <v>72</v>
      </c>
      <c r="AO25" s="1">
        <v>6</v>
      </c>
      <c r="AP25" s="169" t="s">
        <v>72</v>
      </c>
      <c r="AQ25" s="1">
        <v>6</v>
      </c>
      <c r="AR25" s="169" t="s">
        <v>72</v>
      </c>
      <c r="AS25" s="1">
        <v>6</v>
      </c>
      <c r="AT25" s="168" t="s">
        <v>72</v>
      </c>
      <c r="AU25">
        <v>1</v>
      </c>
      <c r="AV25">
        <v>1</v>
      </c>
      <c r="AW25" s="1">
        <v>25</v>
      </c>
      <c r="AX25" s="1">
        <v>3</v>
      </c>
      <c r="AY25" s="169" t="s">
        <v>73</v>
      </c>
      <c r="AZ25" s="169" t="s">
        <v>73</v>
      </c>
      <c r="BA25" s="170" t="s">
        <v>73</v>
      </c>
      <c r="BB25" s="169">
        <v>1808</v>
      </c>
      <c r="BC25" s="102">
        <v>45619.804212962961</v>
      </c>
      <c r="BD25" s="87">
        <v>45631.712268518517</v>
      </c>
      <c r="BE25" s="169" t="s">
        <v>73</v>
      </c>
      <c r="BF25" s="169" t="s">
        <v>73</v>
      </c>
      <c r="BG25" s="169" t="s">
        <v>73</v>
      </c>
      <c r="BH25" s="169" t="s">
        <v>73</v>
      </c>
      <c r="BI25" s="169" t="s">
        <v>73</v>
      </c>
      <c r="BJ25" s="169" t="s">
        <v>73</v>
      </c>
      <c r="BK25" s="169"/>
      <c r="BL25" s="169" t="s">
        <v>73</v>
      </c>
      <c r="BM25" s="169" t="s">
        <v>73</v>
      </c>
      <c r="BN25" s="169" t="s">
        <v>73</v>
      </c>
      <c r="BO25" s="169" t="s">
        <v>73</v>
      </c>
      <c r="BP25" s="169" t="s">
        <v>73</v>
      </c>
      <c r="BQ25" s="169" t="s">
        <v>73</v>
      </c>
      <c r="BR25" s="1"/>
      <c r="BS25" s="169" t="s">
        <v>73</v>
      </c>
      <c r="BT25" s="169" t="s">
        <v>73</v>
      </c>
      <c r="BU25" s="169" t="s">
        <v>73</v>
      </c>
      <c r="BV25" s="169" t="s">
        <v>73</v>
      </c>
      <c r="BW25" s="1"/>
      <c r="BX25" s="1"/>
      <c r="BY25" s="1"/>
      <c r="BZ25" s="1"/>
      <c r="CA25" s="1"/>
      <c r="CB25" s="1"/>
      <c r="CC25" s="1"/>
      <c r="CD25" s="1"/>
      <c r="CE25" s="1"/>
      <c r="CF25" s="1"/>
      <c r="CG25" s="1"/>
      <c r="DC25" s="5"/>
      <c r="DD25" s="5"/>
      <c r="DI25" s="61"/>
      <c r="DL25"/>
      <c r="DM25"/>
      <c r="DN25"/>
      <c r="DO25"/>
      <c r="DP25"/>
      <c r="DQ25"/>
      <c r="DR25"/>
      <c r="DS25"/>
      <c r="DT25"/>
      <c r="DU25"/>
      <c r="DV25"/>
      <c r="DW25"/>
      <c r="EC25" s="1"/>
      <c r="ED25" s="1"/>
      <c r="EE25" s="1"/>
      <c r="EF25" s="1"/>
      <c r="EG25" s="1"/>
      <c r="EH25" s="1"/>
      <c r="EI25" s="1"/>
      <c r="EJ25" s="1"/>
      <c r="EO25"/>
      <c r="EP25"/>
      <c r="EQ25"/>
      <c r="ER25"/>
      <c r="ES25"/>
      <c r="ET25"/>
      <c r="EU25"/>
      <c r="EV25"/>
    </row>
    <row r="26" spans="1:152" ht="16" thickTop="1" x14ac:dyDescent="0.2">
      <c r="A26" t="s">
        <v>79</v>
      </c>
      <c r="C26">
        <f>SUBTOTAL(103,FSD[Naam vereniging])</f>
        <v>19</v>
      </c>
      <c r="D26" s="1">
        <f>COUNTIF(FSD[Delegatie],"x")</f>
        <v>0</v>
      </c>
      <c r="E26" s="16">
        <f>COUNTIF(FSD[Muziekkorps bij mars en defilé],"x")</f>
        <v>18</v>
      </c>
      <c r="F26" s="16">
        <f>COUNTIF(FSD[Deeln. jeugdkoningschieten],"x")</f>
        <v>14</v>
      </c>
      <c r="G26" s="16">
        <f>COUNTIF(FSD[Maj. Senioren jureren bij mars],"x")</f>
        <v>1</v>
      </c>
      <c r="H26" s="16">
        <f>COUNTIF(FSD[Maj. Jeugd jureren bij mars],"x")</f>
        <v>2</v>
      </c>
      <c r="I26" s="1">
        <f>SUBTOTAL(103,FSD[Korps senioren])</f>
        <v>14</v>
      </c>
      <c r="J26" s="1">
        <f>SUBTOTAL(103,FSD[Junioren korps 1])</f>
        <v>4</v>
      </c>
      <c r="K26" s="1">
        <f>SUBTOTAL(103,FSD[Junioren korps 2])</f>
        <v>0</v>
      </c>
      <c r="L26" s="1">
        <f>SUBTOTAL(103,FSD[Aspiranten korps 1])</f>
        <v>2</v>
      </c>
      <c r="M26" s="1">
        <f>SUBTOTAL(103,FSD[Aspiranten korps 2])</f>
        <v>0</v>
      </c>
      <c r="N26" s="1">
        <f>SUBTOTAL(103,FSD[Acrobatisch senioren])</f>
        <v>1</v>
      </c>
      <c r="O26" s="1">
        <f>SUBTOTAL(103,FSD[Acrobatisch junioren])</f>
        <v>0</v>
      </c>
      <c r="P26" s="1">
        <f>SUBTOTAL(103,FSD[Acrobatisch aspiranten])</f>
        <v>0</v>
      </c>
      <c r="Q26" s="1"/>
      <c r="R26" s="1"/>
      <c r="S26" s="1"/>
      <c r="T26" s="79">
        <f>SUBTOTAL(109,FSD[Senioren indiv.])</f>
        <v>8</v>
      </c>
      <c r="U26" s="79">
        <f>SUBTOTAL(109,FSD[Junioren indiv.])</f>
        <v>3</v>
      </c>
      <c r="V26" s="1">
        <f>SUBTOTAL(109,FSD[Aspiranten indiv.])</f>
        <v>5</v>
      </c>
      <c r="W26" s="1">
        <f>SUBTOTAL(109,FSD[Sen. ind opgegeven namen])</f>
        <v>8</v>
      </c>
      <c r="X26" s="1">
        <f>SUBTOTAL(109,FSD[Jun. ind opgegeven namen])</f>
        <v>3</v>
      </c>
      <c r="Y26" s="1">
        <f>SUBTOTAL(109,FSD[Asp. ind opgegeven namen])</f>
        <v>5</v>
      </c>
      <c r="Z26" s="16">
        <f>COUNTIF(FSD[Hoofdkorps],"x")</f>
        <v>6</v>
      </c>
      <c r="AA26" s="120">
        <f>COUNTIF(FSD[2e korps],"x")</f>
        <v>0</v>
      </c>
      <c r="AB26" s="1">
        <f>SUBTOTAL(109,FSD[Groepen, teams, ensembles en duo''s])</f>
        <v>5</v>
      </c>
      <c r="AC26" s="1">
        <f>SUBTOTAL(109,FSD[Senioren])</f>
        <v>28</v>
      </c>
      <c r="AD26" s="1">
        <f>SUBTOTAL(109,FSD[Jong volwassene])</f>
        <v>0</v>
      </c>
      <c r="AE26" s="1">
        <f>SUBTOTAL(109,FSD[Junioren])</f>
        <v>1</v>
      </c>
      <c r="AF26" s="1">
        <f>SUBTOTAL(109,FSD[Aspiranten])</f>
        <v>4</v>
      </c>
      <c r="AG26" s="1">
        <f>SUBTOTAL(109,FSD[Opgegeven senioren])</f>
        <v>27</v>
      </c>
      <c r="AH26" s="1">
        <f>SUBTOTAL(109,FSD[Opgegeven jong volwassene])</f>
        <v>0</v>
      </c>
      <c r="AI26" s="1">
        <f>SUBTOTAL(109,FSD[Opgegeven junioren])</f>
        <v>1</v>
      </c>
      <c r="AJ26" s="1">
        <f>SUBTOTAL(109,FSD[Opgegeven aspiranten])</f>
        <v>4</v>
      </c>
      <c r="AK26" s="1">
        <f>COUNTIF(FSD[Marketentsters],"x")</f>
        <v>3</v>
      </c>
      <c r="AL26" s="1">
        <f>COUNTIF(FSD[Luchtgeweer],"x")</f>
        <v>12</v>
      </c>
      <c r="AM26" s="1">
        <f>SUBTOTAL(109,FSD[Aantal luchtgeweerschutters])</f>
        <v>67</v>
      </c>
      <c r="AN26" s="1">
        <f>COUNTIF(FSD[Luchtpistool],"x")</f>
        <v>11</v>
      </c>
      <c r="AO26" s="1">
        <f>SUBTOTAL(109,FSD[Aantal luchtpistoolschutters])</f>
        <v>59</v>
      </c>
      <c r="AP26" s="1">
        <f>COUNTIF(FSD[Handboog],"x")</f>
        <v>1</v>
      </c>
      <c r="AQ26" s="1">
        <f>SUBTOTAL(109,FSD[Aantal handboogschutters])</f>
        <v>6</v>
      </c>
      <c r="AR26" s="1">
        <f>COUNTIF(FSD[Kruisboog],"x")</f>
        <v>11</v>
      </c>
      <c r="AS26" s="1">
        <f>SUBTOTAL(109,FSD[Aantal kruisboogschutters])</f>
        <v>59</v>
      </c>
      <c r="AT26" s="1">
        <f>COUNTIF(FSD[Luchtgeweer jeugd niet ouder dan 17 jaar.],"x")</f>
        <v>6</v>
      </c>
      <c r="AU26" s="1">
        <f>SUBTOTAL(109,FSD[Aantal korpsen])</f>
        <v>12</v>
      </c>
      <c r="AV26" s="1">
        <f>SUBTOTAL(109,FSD[Opgegeven jeugdkorpsen LG])</f>
        <v>1</v>
      </c>
      <c r="AW26" s="1">
        <f>SUBTOTAL(109,FSD[Totaal aantal deelnemers])</f>
        <v>859</v>
      </c>
      <c r="AX26" s="1">
        <f>SUBTOTAL(109,FSD[Waarvan aantal jeugd (t/m 15 jaar)])</f>
        <v>153</v>
      </c>
      <c r="AY26" s="86">
        <f>COUNTIF(FSD[Kanon etc.],"x")</f>
        <v>5</v>
      </c>
      <c r="AZ26" s="1">
        <f>COUNTIF(FSD[Paarden en/of koetsen],"x")</f>
        <v>0</v>
      </c>
      <c r="BA26" s="63"/>
      <c r="BB26" s="1"/>
      <c r="BC26" s="1"/>
      <c r="BD26" s="1"/>
      <c r="BE26" s="1"/>
      <c r="BF26" s="1"/>
      <c r="BG26" s="1"/>
      <c r="BH26" s="1"/>
      <c r="BI26" s="1"/>
      <c r="BJ26" s="1"/>
      <c r="BK26" s="1"/>
      <c r="BL26" s="1"/>
      <c r="BM26" s="1"/>
      <c r="BN26" s="1"/>
      <c r="BO26" s="1"/>
      <c r="BP26" s="1"/>
      <c r="BQ26" s="1"/>
      <c r="BR26" s="1"/>
      <c r="BS26" s="1"/>
      <c r="BT26" s="1"/>
      <c r="BU26" s="1"/>
      <c r="BV26" s="1"/>
      <c r="BW26" s="1">
        <f>SUBTOTAL(109,FSD[Aantal opgegeven majorettes])</f>
        <v>24</v>
      </c>
      <c r="BX26" s="1"/>
      <c r="BY26" s="1"/>
      <c r="BZ26" s="1"/>
      <c r="CA26" s="1"/>
      <c r="CB26" s="1"/>
      <c r="CC26" s="1"/>
      <c r="CD26" s="1"/>
      <c r="CE26" s="1"/>
      <c r="CF26" s="1"/>
      <c r="CG26" s="1"/>
      <c r="DC26" s="5"/>
      <c r="DD26" s="5"/>
      <c r="DI26" s="61"/>
      <c r="DL26"/>
      <c r="DM26"/>
      <c r="DN26"/>
      <c r="DO26"/>
      <c r="DP26"/>
      <c r="DQ26"/>
      <c r="DR26"/>
      <c r="DS26"/>
      <c r="DT26"/>
      <c r="DU26"/>
      <c r="DV26"/>
      <c r="DW26"/>
      <c r="EC26" s="1"/>
      <c r="ED26" s="1"/>
      <c r="EE26" s="1"/>
      <c r="EF26" s="1"/>
      <c r="EG26" s="1"/>
      <c r="EH26" s="1"/>
      <c r="EI26" s="1"/>
      <c r="EJ26" s="1"/>
      <c r="EO26"/>
      <c r="EP26"/>
      <c r="EQ26"/>
      <c r="ER26"/>
      <c r="ES26"/>
      <c r="ET26"/>
      <c r="EU26"/>
      <c r="EV26"/>
    </row>
    <row r="27" spans="1:152" x14ac:dyDescent="0.2">
      <c r="BX27" s="1"/>
      <c r="BY27" s="1"/>
      <c r="BZ27" s="1"/>
      <c r="CA27" s="1"/>
      <c r="CB27" s="1"/>
      <c r="CC27" s="1"/>
      <c r="CD27" s="1"/>
      <c r="CE27" s="1"/>
      <c r="CF27" s="1"/>
      <c r="CG27" s="1"/>
      <c r="DC27" s="5"/>
      <c r="DD27" s="5"/>
      <c r="DI27" s="61"/>
      <c r="DL27"/>
      <c r="DM27"/>
      <c r="DN27"/>
      <c r="DO27"/>
      <c r="DP27"/>
      <c r="DQ27"/>
      <c r="DR27"/>
      <c r="DS27"/>
      <c r="DT27"/>
      <c r="DU27"/>
      <c r="DV27"/>
      <c r="DW27"/>
      <c r="EC27" s="1"/>
      <c r="ED27" s="1"/>
      <c r="EE27" s="1"/>
      <c r="EF27" s="1"/>
      <c r="EG27" s="1"/>
      <c r="EH27" s="1"/>
      <c r="EI27" s="1"/>
      <c r="EJ27" s="1"/>
      <c r="EO27"/>
      <c r="EP27"/>
      <c r="EQ27"/>
      <c r="ER27"/>
      <c r="ES27"/>
      <c r="ET27"/>
      <c r="EU27"/>
      <c r="EV27"/>
    </row>
    <row r="28" spans="1:152" x14ac:dyDescent="0.2">
      <c r="C28" s="32"/>
      <c r="BX28" s="1"/>
      <c r="BY28" s="1"/>
      <c r="BZ28" s="1"/>
      <c r="CA28" s="1"/>
      <c r="CB28" s="1"/>
      <c r="CC28" s="1"/>
      <c r="CD28" s="1"/>
      <c r="CE28" s="1"/>
      <c r="CF28" s="1"/>
      <c r="CG28" s="1"/>
      <c r="DC28" s="5"/>
      <c r="DD28" s="5"/>
      <c r="DI28" s="61"/>
      <c r="DL28"/>
      <c r="DM28"/>
      <c r="DN28"/>
      <c r="DO28"/>
      <c r="DP28"/>
      <c r="DQ28"/>
      <c r="DR28"/>
      <c r="DS28"/>
      <c r="DT28"/>
      <c r="DU28"/>
      <c r="DV28"/>
      <c r="DW28"/>
      <c r="EC28" s="1"/>
      <c r="ED28" s="1"/>
      <c r="EE28" s="1"/>
      <c r="EF28" s="1"/>
      <c r="EG28" s="1"/>
      <c r="EH28" s="1"/>
      <c r="EI28" s="1"/>
      <c r="EJ28" s="1"/>
      <c r="EO28"/>
      <c r="EP28"/>
      <c r="EQ28"/>
      <c r="ER28"/>
      <c r="ES28"/>
      <c r="ET28"/>
      <c r="EU28"/>
      <c r="EV28"/>
    </row>
    <row r="29" spans="1:152" x14ac:dyDescent="0.2">
      <c r="B29" s="81"/>
      <c r="C29" s="81"/>
      <c r="D29" s="70"/>
      <c r="BX29" s="1"/>
      <c r="BY29" s="1"/>
      <c r="BZ29" s="1"/>
      <c r="CA29" s="1"/>
      <c r="CB29" s="1"/>
      <c r="CC29" s="1"/>
      <c r="CD29" s="1"/>
      <c r="CE29" s="1"/>
      <c r="CF29" s="1"/>
      <c r="CG29" s="1"/>
      <c r="DC29" s="5"/>
      <c r="DD29" s="5"/>
      <c r="DI29" s="61"/>
      <c r="DL29"/>
      <c r="DM29"/>
      <c r="DN29"/>
      <c r="DO29"/>
      <c r="DP29"/>
      <c r="DQ29"/>
      <c r="DR29"/>
      <c r="DS29"/>
      <c r="DT29"/>
      <c r="DU29"/>
      <c r="DV29"/>
      <c r="DW29"/>
      <c r="EC29" s="1"/>
      <c r="ED29" s="1"/>
      <c r="EE29" s="1"/>
      <c r="EF29" s="1"/>
      <c r="EG29" s="1"/>
      <c r="EH29" s="1"/>
      <c r="EI29" s="1"/>
      <c r="EJ29" s="1"/>
      <c r="EO29"/>
      <c r="EP29"/>
      <c r="EQ29"/>
      <c r="ER29"/>
      <c r="ES29"/>
      <c r="ET29"/>
      <c r="EU29"/>
      <c r="EV29"/>
    </row>
    <row r="30" spans="1:152" x14ac:dyDescent="0.2">
      <c r="BX30" s="1"/>
      <c r="BY30" s="1"/>
      <c r="BZ30" s="1"/>
      <c r="CA30" s="1"/>
      <c r="CB30" s="1"/>
      <c r="CC30" s="1"/>
      <c r="CD30" s="1"/>
      <c r="CE30" s="1"/>
      <c r="CF30" s="1"/>
      <c r="CG30" s="1"/>
      <c r="DC30" s="5"/>
      <c r="DD30" s="5"/>
      <c r="DI30" s="61"/>
      <c r="DL30"/>
      <c r="DM30"/>
      <c r="DN30"/>
      <c r="DO30"/>
      <c r="DP30"/>
      <c r="DQ30"/>
      <c r="DR30"/>
      <c r="DS30"/>
      <c r="DT30"/>
      <c r="DU30"/>
      <c r="DV30"/>
      <c r="DW30"/>
      <c r="EC30" s="1"/>
      <c r="ED30" s="1"/>
      <c r="EE30" s="1"/>
      <c r="EF30" s="1"/>
      <c r="EG30" s="1"/>
      <c r="EH30" s="1"/>
      <c r="EI30" s="1"/>
      <c r="EJ30" s="1"/>
      <c r="EO30"/>
      <c r="EP30"/>
      <c r="EQ30"/>
      <c r="ER30"/>
      <c r="ES30"/>
      <c r="ET30"/>
      <c r="EU30"/>
      <c r="EV30"/>
    </row>
    <row r="31" spans="1:152" x14ac:dyDescent="0.2">
      <c r="B31" s="81"/>
      <c r="C31" s="81"/>
      <c r="D31" s="70"/>
      <c r="R31" s="70"/>
      <c r="BX31" s="1"/>
      <c r="BY31" s="1"/>
      <c r="BZ31" s="1"/>
      <c r="CA31" s="1"/>
      <c r="CB31" s="1"/>
      <c r="CC31" s="1"/>
      <c r="CD31" s="1"/>
      <c r="CE31" s="1"/>
      <c r="CF31" s="1"/>
      <c r="CG31" s="1"/>
      <c r="DC31" s="5"/>
      <c r="DD31" s="5"/>
      <c r="DI31" s="61"/>
      <c r="DL31"/>
      <c r="DM31"/>
      <c r="DN31"/>
      <c r="DO31"/>
      <c r="DP31"/>
      <c r="DQ31"/>
      <c r="DR31"/>
      <c r="DS31"/>
      <c r="DT31"/>
      <c r="DU31"/>
      <c r="DV31"/>
      <c r="DW31"/>
      <c r="EC31" s="1"/>
      <c r="ED31" s="1"/>
      <c r="EE31" s="1"/>
      <c r="EF31" s="1"/>
      <c r="EG31" s="1"/>
      <c r="EH31" s="1"/>
      <c r="EI31" s="1"/>
      <c r="EJ31" s="1"/>
      <c r="EO31"/>
      <c r="EP31"/>
      <c r="EQ31"/>
      <c r="ER31"/>
      <c r="ES31"/>
      <c r="ET31"/>
      <c r="EU31"/>
      <c r="EV31"/>
    </row>
    <row r="32" spans="1:152" x14ac:dyDescent="0.2">
      <c r="BX32" s="1"/>
      <c r="BY32" s="1"/>
      <c r="BZ32" s="1"/>
      <c r="CA32" s="1"/>
      <c r="CB32" s="1"/>
      <c r="CC32" s="1"/>
      <c r="CD32" s="1"/>
      <c r="CE32" s="1"/>
      <c r="CF32" s="1"/>
      <c r="CG32" s="1"/>
      <c r="DC32" s="5"/>
      <c r="DD32" s="5"/>
      <c r="DI32" s="61"/>
      <c r="DL32"/>
      <c r="DM32"/>
      <c r="DN32"/>
      <c r="DO32"/>
      <c r="DP32"/>
      <c r="DQ32"/>
      <c r="DR32"/>
      <c r="DS32"/>
      <c r="DT32"/>
      <c r="DU32"/>
      <c r="DV32"/>
      <c r="DW32"/>
      <c r="EC32" s="1"/>
      <c r="ED32" s="1"/>
      <c r="EE32" s="1"/>
      <c r="EF32" s="1"/>
      <c r="EG32" s="1"/>
      <c r="EH32" s="1"/>
      <c r="EI32" s="1"/>
      <c r="EJ32" s="1"/>
      <c r="EO32"/>
      <c r="EP32"/>
      <c r="EQ32"/>
      <c r="ER32"/>
      <c r="ES32"/>
      <c r="ET32"/>
      <c r="EU32"/>
      <c r="EV32"/>
    </row>
    <row r="33" spans="2:152" x14ac:dyDescent="0.2">
      <c r="B33" s="81"/>
      <c r="C33" s="81"/>
      <c r="D33" s="70"/>
      <c r="R33" s="82"/>
      <c r="BX33" s="1"/>
      <c r="BY33" s="1"/>
      <c r="BZ33" s="1"/>
      <c r="CA33" s="1"/>
      <c r="CB33" s="1"/>
      <c r="CC33" s="1"/>
      <c r="CD33" s="1"/>
      <c r="CE33" s="1"/>
      <c r="CF33" s="1"/>
      <c r="CG33" s="1"/>
      <c r="DC33" s="5"/>
      <c r="DD33" s="5"/>
      <c r="DI33" s="61"/>
      <c r="DL33"/>
      <c r="DM33"/>
      <c r="DN33"/>
      <c r="DO33"/>
      <c r="DP33"/>
      <c r="DQ33"/>
      <c r="DR33"/>
      <c r="DS33"/>
      <c r="DT33"/>
      <c r="DU33"/>
      <c r="DV33"/>
      <c r="DW33"/>
      <c r="EC33" s="1"/>
      <c r="ED33" s="1"/>
      <c r="EE33" s="1"/>
      <c r="EF33" s="1"/>
      <c r="EG33" s="1"/>
      <c r="EH33" s="1"/>
      <c r="EI33" s="1"/>
      <c r="EJ33" s="1"/>
      <c r="EO33"/>
      <c r="EP33"/>
      <c r="EQ33"/>
      <c r="ER33"/>
      <c r="ES33"/>
      <c r="ET33"/>
      <c r="EU33"/>
      <c r="EV33"/>
    </row>
    <row r="34" spans="2:152" x14ac:dyDescent="0.2">
      <c r="D34" s="70"/>
      <c r="R34" s="70"/>
      <c r="BX34" s="1"/>
      <c r="BY34" s="1"/>
      <c r="BZ34" s="1"/>
      <c r="CA34" s="1"/>
      <c r="CB34" s="1"/>
      <c r="CC34" s="1"/>
      <c r="CD34" s="1"/>
      <c r="CE34" s="1"/>
      <c r="CF34" s="1"/>
      <c r="CG34" s="1"/>
      <c r="DC34" s="5"/>
      <c r="DD34" s="5"/>
      <c r="DI34" s="61"/>
      <c r="DL34"/>
      <c r="DM34"/>
      <c r="DN34"/>
      <c r="DO34"/>
      <c r="DP34"/>
      <c r="DQ34"/>
      <c r="DR34"/>
      <c r="DS34"/>
      <c r="DT34"/>
      <c r="DU34"/>
      <c r="DV34"/>
      <c r="DW34"/>
      <c r="EC34" s="1"/>
      <c r="ED34" s="1"/>
      <c r="EE34" s="1"/>
      <c r="EF34" s="1"/>
      <c r="EG34" s="1"/>
      <c r="EH34" s="1"/>
      <c r="EI34" s="1"/>
      <c r="EJ34" s="1"/>
      <c r="EO34"/>
      <c r="EP34"/>
      <c r="EQ34"/>
      <c r="ER34"/>
      <c r="ES34"/>
      <c r="ET34"/>
      <c r="EU34"/>
      <c r="EV34"/>
    </row>
    <row r="35" spans="2:152" x14ac:dyDescent="0.2">
      <c r="BX35" s="1"/>
      <c r="BY35" s="1"/>
      <c r="BZ35" s="1"/>
      <c r="CA35" s="1"/>
      <c r="CB35" s="1"/>
      <c r="CC35" s="1"/>
      <c r="CD35" s="1"/>
      <c r="CE35" s="1"/>
      <c r="CF35" s="1"/>
      <c r="CG35" s="1"/>
      <c r="DC35" s="5"/>
      <c r="DD35" s="5"/>
      <c r="DI35" s="61"/>
      <c r="DL35"/>
      <c r="DM35"/>
      <c r="DN35"/>
      <c r="DO35"/>
      <c r="DP35"/>
      <c r="DQ35"/>
      <c r="DR35"/>
      <c r="DS35"/>
      <c r="DT35"/>
      <c r="DU35"/>
      <c r="DV35"/>
      <c r="DW35"/>
      <c r="EC35" s="1"/>
      <c r="ED35" s="1"/>
      <c r="EE35" s="1"/>
      <c r="EF35" s="1"/>
      <c r="EG35" s="1"/>
      <c r="EH35" s="1"/>
      <c r="EI35" s="1"/>
      <c r="EJ35" s="1"/>
      <c r="EO35"/>
      <c r="EP35"/>
      <c r="EQ35"/>
      <c r="ER35"/>
      <c r="ES35"/>
      <c r="ET35"/>
      <c r="EU35"/>
      <c r="EV35"/>
    </row>
    <row r="36" spans="2:152" x14ac:dyDescent="0.2">
      <c r="BX36" s="1"/>
      <c r="BY36" s="1"/>
      <c r="BZ36" s="1"/>
      <c r="CA36" s="1"/>
      <c r="CB36" s="1"/>
      <c r="CC36" s="1"/>
      <c r="CD36" s="1"/>
      <c r="CE36" s="1"/>
      <c r="CF36" s="1"/>
      <c r="CG36" s="1"/>
      <c r="DC36" s="5"/>
      <c r="DD36" s="5"/>
      <c r="DI36" s="61"/>
      <c r="DL36"/>
      <c r="DM36"/>
      <c r="DN36"/>
      <c r="DO36"/>
      <c r="DP36"/>
      <c r="DQ36"/>
      <c r="DR36"/>
      <c r="DS36"/>
      <c r="DT36"/>
      <c r="DU36"/>
      <c r="DV36"/>
      <c r="DW36"/>
      <c r="EC36" s="1"/>
      <c r="ED36" s="1"/>
      <c r="EE36" s="1"/>
      <c r="EF36" s="1"/>
      <c r="EG36" s="1"/>
      <c r="EH36" s="1"/>
      <c r="EI36" s="1"/>
      <c r="EJ36" s="1"/>
      <c r="EO36"/>
      <c r="EP36"/>
      <c r="EQ36"/>
      <c r="ER36"/>
      <c r="ES36"/>
      <c r="ET36"/>
      <c r="EU36"/>
      <c r="EV36"/>
    </row>
    <row r="37" spans="2:152" x14ac:dyDescent="0.2">
      <c r="BX37" s="1"/>
      <c r="BY37" s="1"/>
      <c r="BZ37" s="1"/>
      <c r="CA37" s="1"/>
      <c r="CB37" s="1"/>
      <c r="CC37" s="1"/>
      <c r="CD37" s="1"/>
      <c r="CE37" s="1"/>
      <c r="CF37" s="1"/>
      <c r="CG37" s="1"/>
      <c r="DC37" s="5"/>
      <c r="DD37" s="5"/>
      <c r="DI37" s="61"/>
      <c r="DL37"/>
      <c r="DM37"/>
      <c r="DN37"/>
      <c r="DO37"/>
      <c r="DP37"/>
      <c r="DQ37"/>
      <c r="DR37"/>
      <c r="DS37"/>
      <c r="DT37"/>
      <c r="DU37"/>
      <c r="DV37"/>
      <c r="DW37"/>
      <c r="EC37" s="1"/>
      <c r="ED37" s="1"/>
      <c r="EE37" s="1"/>
      <c r="EF37" s="1"/>
      <c r="EG37" s="1"/>
      <c r="EH37" s="1"/>
      <c r="EI37" s="1"/>
      <c r="EJ37" s="1"/>
      <c r="EO37"/>
      <c r="EP37"/>
      <c r="EQ37"/>
      <c r="ER37"/>
      <c r="ES37"/>
      <c r="ET37"/>
      <c r="EU37"/>
      <c r="EV37"/>
    </row>
    <row r="38" spans="2:152" x14ac:dyDescent="0.2">
      <c r="BX38" s="1"/>
      <c r="BY38" s="1"/>
      <c r="BZ38" s="1"/>
      <c r="CA38" s="1"/>
      <c r="CB38" s="1"/>
      <c r="CC38" s="1"/>
      <c r="CD38" s="1"/>
      <c r="CE38" s="1"/>
      <c r="CF38" s="1"/>
      <c r="CG38" s="1"/>
      <c r="DC38" s="5"/>
      <c r="DD38" s="5"/>
      <c r="DI38" s="61"/>
      <c r="DL38"/>
      <c r="DM38"/>
      <c r="DN38"/>
      <c r="DO38"/>
      <c r="DP38"/>
      <c r="DQ38"/>
      <c r="DR38"/>
      <c r="DS38"/>
      <c r="DT38"/>
      <c r="DU38"/>
      <c r="DV38"/>
      <c r="DW38"/>
      <c r="EC38" s="1"/>
      <c r="ED38" s="1"/>
      <c r="EE38" s="1"/>
      <c r="EF38" s="1"/>
      <c r="EG38" s="1"/>
      <c r="EH38" s="1"/>
      <c r="EI38" s="1"/>
      <c r="EJ38" s="1"/>
      <c r="EO38"/>
      <c r="EP38"/>
      <c r="EQ38"/>
      <c r="ER38"/>
      <c r="ES38"/>
      <c r="ET38"/>
      <c r="EU38"/>
      <c r="EV38"/>
    </row>
    <row r="39" spans="2:152" x14ac:dyDescent="0.2">
      <c r="BX39" s="1"/>
      <c r="BY39" s="1"/>
      <c r="BZ39" s="1"/>
      <c r="CA39" s="1"/>
      <c r="CB39" s="1"/>
      <c r="CC39" s="1"/>
      <c r="CD39" s="1"/>
      <c r="CE39" s="1"/>
      <c r="CF39" s="1"/>
      <c r="CG39" s="1"/>
      <c r="DC39" s="5"/>
      <c r="DD39" s="5"/>
      <c r="DI39" s="61"/>
      <c r="DL39"/>
      <c r="DM39"/>
      <c r="DN39"/>
      <c r="DO39"/>
      <c r="DP39"/>
      <c r="DQ39"/>
      <c r="DR39"/>
      <c r="DS39"/>
      <c r="DT39"/>
      <c r="DU39"/>
      <c r="DV39"/>
      <c r="DW39"/>
      <c r="EC39" s="1"/>
      <c r="ED39" s="1"/>
      <c r="EE39" s="1"/>
      <c r="EF39" s="1"/>
      <c r="EG39" s="1"/>
      <c r="EH39" s="1"/>
      <c r="EI39" s="1"/>
      <c r="EJ39" s="1"/>
      <c r="EO39"/>
      <c r="EP39"/>
      <c r="EQ39"/>
      <c r="ER39"/>
      <c r="ES39"/>
      <c r="ET39"/>
      <c r="EU39"/>
      <c r="EV39"/>
    </row>
  </sheetData>
  <mergeCells count="15">
    <mergeCell ref="A1:BW1"/>
    <mergeCell ref="A2:BW2"/>
    <mergeCell ref="D3:H3"/>
    <mergeCell ref="I3:Y3"/>
    <mergeCell ref="Z3:AA3"/>
    <mergeCell ref="AL3:AV3"/>
    <mergeCell ref="BE3:BR3"/>
    <mergeCell ref="AW3:BD3"/>
    <mergeCell ref="BS3:BW3"/>
    <mergeCell ref="BL4:BR4"/>
    <mergeCell ref="I4:M4"/>
    <mergeCell ref="N4:P4"/>
    <mergeCell ref="Q4:S4"/>
    <mergeCell ref="T4:Y4"/>
    <mergeCell ref="BE4:BK4"/>
  </mergeCells>
  <phoneticPr fontId="2" type="noConversion"/>
  <conditionalFormatting sqref="W6:W25">
    <cfRule type="expression" dxfId="13" priority="1">
      <formula>$T6-$W6&lt;&gt;0</formula>
    </cfRule>
  </conditionalFormatting>
  <conditionalFormatting sqref="X6:X25">
    <cfRule type="expression" dxfId="12" priority="2">
      <formula>$U6-$X6&lt;&gt;0</formula>
    </cfRule>
  </conditionalFormatting>
  <conditionalFormatting sqref="Y6:Y25">
    <cfRule type="expression" dxfId="11" priority="3">
      <formula>$V6-$Y6&lt;&gt;0</formula>
    </cfRule>
  </conditionalFormatting>
  <pageMargins left="0.25" right="0.25" top="0.75" bottom="0.75" header="0.3" footer="0.3"/>
  <pageSetup paperSize="9" scale="50" fitToHeight="0" orientation="landscape" horizont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243C-AE29-44A8-A9C0-19C41604C858}">
  <sheetPr>
    <pageSetUpPr fitToPage="1"/>
  </sheetPr>
  <dimension ref="A1:AI26"/>
  <sheetViews>
    <sheetView tabSelected="1" zoomScale="110" zoomScaleNormal="110" workbookViewId="0">
      <selection activeCell="G24" sqref="G24"/>
    </sheetView>
  </sheetViews>
  <sheetFormatPr baseColWidth="10" defaultColWidth="9.1640625" defaultRowHeight="16" x14ac:dyDescent="0.2"/>
  <cols>
    <col min="1" max="1" width="13.33203125" style="36" bestFit="1" customWidth="1"/>
    <col min="2" max="2" width="16" style="36" bestFit="1" customWidth="1"/>
    <col min="3" max="4" width="9.1640625" style="36" bestFit="1" customWidth="1"/>
    <col min="5" max="5" width="44.6640625" style="36" bestFit="1" customWidth="1"/>
    <col min="6" max="6" width="8.6640625" style="36" bestFit="1" customWidth="1"/>
    <col min="7" max="8" width="8.5" style="36" bestFit="1" customWidth="1"/>
    <col min="9" max="10" width="11" style="36" bestFit="1" customWidth="1"/>
    <col min="11" max="12" width="3.6640625" style="36" bestFit="1" customWidth="1"/>
    <col min="13" max="13" width="6.33203125" style="36" bestFit="1" customWidth="1"/>
    <col min="14" max="15" width="21.1640625" style="36" hidden="1" customWidth="1"/>
    <col min="16" max="16" width="23.33203125" style="36" hidden="1" customWidth="1"/>
    <col min="17" max="17" width="3.6640625" style="36" bestFit="1" customWidth="1"/>
    <col min="18" max="19" width="3.6640625" style="69" bestFit="1" customWidth="1"/>
    <col min="20" max="20" width="13.33203125" style="69" bestFit="1" customWidth="1"/>
    <col min="21" max="21" width="19.33203125" style="69" bestFit="1" customWidth="1"/>
    <col min="22" max="22" width="27.33203125" style="69" bestFit="1" customWidth="1"/>
    <col min="23" max="23" width="16.1640625" style="69" bestFit="1" customWidth="1"/>
    <col min="24" max="25" width="19.6640625" style="36" bestFit="1" customWidth="1"/>
    <col min="26" max="26" width="5.83203125" style="36" bestFit="1" customWidth="1"/>
    <col min="27" max="27" width="6.33203125" style="36" bestFit="1" customWidth="1"/>
    <col min="28" max="28" width="15.6640625" style="36" bestFit="1" customWidth="1"/>
    <col min="29" max="30" width="12.1640625" style="36" customWidth="1"/>
    <col min="31" max="32" width="15.83203125" style="36" bestFit="1" customWidth="1"/>
    <col min="33" max="16384" width="9.1640625" style="36"/>
  </cols>
  <sheetData>
    <row r="1" spans="1:35" ht="24" x14ac:dyDescent="0.2">
      <c r="A1" s="154" t="s">
        <v>144</v>
      </c>
      <c r="B1" s="154"/>
      <c r="C1" s="154"/>
      <c r="D1" s="154"/>
      <c r="E1" s="154"/>
      <c r="F1" s="154"/>
      <c r="G1" s="154"/>
      <c r="H1" s="154"/>
      <c r="I1" s="154"/>
      <c r="J1" s="154"/>
      <c r="K1" s="154"/>
      <c r="L1" s="154"/>
      <c r="M1" s="154"/>
      <c r="N1" s="154"/>
      <c r="O1" s="154"/>
      <c r="P1" s="154"/>
      <c r="Q1" s="154"/>
      <c r="R1" s="154"/>
      <c r="S1" s="154"/>
      <c r="T1" s="154"/>
      <c r="U1" s="154"/>
      <c r="V1" s="154"/>
      <c r="W1" s="154"/>
      <c r="X1" s="154"/>
      <c r="Y1" s="154"/>
      <c r="Z1" s="76"/>
      <c r="AA1" s="76"/>
      <c r="AB1" s="76"/>
      <c r="AC1" s="35"/>
      <c r="AD1" s="35"/>
      <c r="AE1" s="35"/>
    </row>
    <row r="2" spans="1:35" ht="24" x14ac:dyDescent="0.2">
      <c r="A2" s="154" t="s">
        <v>145</v>
      </c>
      <c r="B2" s="154"/>
      <c r="C2" s="154"/>
      <c r="D2" s="154"/>
      <c r="E2" s="154"/>
      <c r="F2" s="154"/>
      <c r="G2" s="154"/>
      <c r="H2" s="154"/>
      <c r="I2" s="154"/>
      <c r="J2" s="154"/>
      <c r="K2" s="154"/>
      <c r="L2" s="154"/>
      <c r="M2" s="154"/>
      <c r="N2" s="154"/>
      <c r="O2" s="154"/>
      <c r="P2" s="154"/>
      <c r="Q2" s="154"/>
      <c r="R2" s="154"/>
      <c r="S2" s="154"/>
      <c r="T2" s="154"/>
      <c r="U2" s="154"/>
      <c r="V2" s="154"/>
      <c r="W2" s="154"/>
      <c r="X2" s="154"/>
      <c r="Y2" s="154"/>
      <c r="Z2" s="76"/>
      <c r="AA2" s="76"/>
      <c r="AB2" s="76"/>
      <c r="AC2" s="35"/>
      <c r="AD2" s="35"/>
      <c r="AE2" s="35"/>
    </row>
    <row r="3" spans="1:35" ht="15" customHeight="1" thickBot="1" x14ac:dyDescent="0.25">
      <c r="A3" s="35"/>
      <c r="B3" s="35"/>
      <c r="C3" s="35"/>
      <c r="D3" s="35"/>
      <c r="E3" s="35"/>
      <c r="F3" s="35"/>
      <c r="G3" s="35"/>
      <c r="H3" s="35"/>
      <c r="I3" s="35"/>
      <c r="J3" s="35"/>
      <c r="K3" s="35"/>
      <c r="L3" s="35"/>
      <c r="M3" s="35"/>
      <c r="N3" s="35"/>
      <c r="O3" s="35"/>
      <c r="P3" s="37"/>
      <c r="Q3" s="35"/>
      <c r="R3" s="66"/>
      <c r="S3" s="66"/>
      <c r="T3" s="66"/>
      <c r="U3" s="66"/>
      <c r="V3" s="66"/>
      <c r="W3" s="66"/>
      <c r="X3" s="35"/>
      <c r="Y3" s="35"/>
      <c r="Z3" s="35"/>
      <c r="AA3" s="35"/>
      <c r="AB3" s="35"/>
      <c r="AC3" s="35"/>
      <c r="AD3" s="35"/>
      <c r="AE3" s="35"/>
    </row>
    <row r="4" spans="1:35" ht="24" x14ac:dyDescent="0.2">
      <c r="A4" s="38"/>
      <c r="B4" s="39"/>
      <c r="C4" s="39"/>
      <c r="D4" s="39"/>
      <c r="E4" s="40"/>
      <c r="F4" s="158" t="s">
        <v>87</v>
      </c>
      <c r="G4" s="159"/>
      <c r="H4" s="159"/>
      <c r="I4" s="159"/>
      <c r="J4" s="160"/>
      <c r="K4" s="158" t="s">
        <v>87</v>
      </c>
      <c r="L4" s="159"/>
      <c r="M4" s="160"/>
      <c r="N4" s="158" t="s">
        <v>87</v>
      </c>
      <c r="O4" s="159"/>
      <c r="P4" s="160"/>
      <c r="Q4" s="161" t="s">
        <v>88</v>
      </c>
      <c r="R4" s="162"/>
      <c r="S4" s="162"/>
      <c r="T4" s="67"/>
      <c r="U4" s="84"/>
      <c r="V4" s="84"/>
      <c r="W4" s="84"/>
      <c r="X4" s="84"/>
      <c r="Y4" s="84"/>
      <c r="Z4" s="39"/>
      <c r="AA4" s="40"/>
      <c r="AB4" s="35"/>
      <c r="AC4" s="35"/>
      <c r="AD4" s="35"/>
      <c r="AE4" s="35"/>
      <c r="AF4" s="35"/>
      <c r="AG4" s="35"/>
      <c r="AH4" s="35"/>
      <c r="AI4" s="35"/>
    </row>
    <row r="5" spans="1:35" ht="25" thickBot="1" x14ac:dyDescent="0.25">
      <c r="A5" s="41"/>
      <c r="B5" s="42"/>
      <c r="C5" s="42"/>
      <c r="D5" s="42"/>
      <c r="E5" s="43"/>
      <c r="F5" s="163" t="s">
        <v>11</v>
      </c>
      <c r="G5" s="164"/>
      <c r="H5" s="164"/>
      <c r="I5" s="164"/>
      <c r="J5" s="165"/>
      <c r="K5" s="153" t="s">
        <v>88</v>
      </c>
      <c r="L5" s="154"/>
      <c r="M5" s="155"/>
      <c r="N5" s="153" t="s">
        <v>13</v>
      </c>
      <c r="O5" s="154"/>
      <c r="P5" s="155"/>
      <c r="Q5" s="156" t="s">
        <v>14</v>
      </c>
      <c r="R5" s="157"/>
      <c r="S5" s="157"/>
      <c r="T5" s="68"/>
      <c r="U5" s="85"/>
      <c r="V5" s="85"/>
      <c r="W5" s="85"/>
      <c r="X5" s="85"/>
      <c r="Y5" s="85"/>
      <c r="Z5" s="42"/>
      <c r="AA5" s="43"/>
      <c r="AB5" s="35"/>
      <c r="AC5" s="35"/>
      <c r="AD5" s="35"/>
      <c r="AE5" s="35"/>
      <c r="AF5" s="35"/>
      <c r="AG5" s="35"/>
      <c r="AH5" s="35"/>
      <c r="AI5" s="35"/>
    </row>
    <row r="6" spans="1:35" s="47" customFormat="1" ht="125" x14ac:dyDescent="0.2">
      <c r="A6" s="2" t="s">
        <v>51</v>
      </c>
      <c r="B6" s="46" t="s">
        <v>52</v>
      </c>
      <c r="C6" s="44" t="s">
        <v>89</v>
      </c>
      <c r="D6" s="44" t="s">
        <v>90</v>
      </c>
      <c r="E6" s="45" t="s">
        <v>19</v>
      </c>
      <c r="F6" s="117" t="s">
        <v>91</v>
      </c>
      <c r="G6" s="118" t="s">
        <v>104</v>
      </c>
      <c r="H6" s="118" t="s">
        <v>105</v>
      </c>
      <c r="I6" s="118" t="s">
        <v>106</v>
      </c>
      <c r="J6" s="118" t="s">
        <v>107</v>
      </c>
      <c r="K6" s="114" t="s">
        <v>92</v>
      </c>
      <c r="L6" s="114" t="s">
        <v>93</v>
      </c>
      <c r="M6" s="114" t="s">
        <v>94</v>
      </c>
      <c r="N6" s="114" t="s">
        <v>95</v>
      </c>
      <c r="O6" s="114" t="s">
        <v>96</v>
      </c>
      <c r="P6" s="114" t="s">
        <v>97</v>
      </c>
      <c r="Q6" s="115" t="s">
        <v>38</v>
      </c>
      <c r="R6" s="115" t="s">
        <v>39</v>
      </c>
      <c r="S6" s="116" t="s">
        <v>40</v>
      </c>
      <c r="T6" s="46" t="s">
        <v>99</v>
      </c>
      <c r="U6" s="46" t="s">
        <v>100</v>
      </c>
      <c r="V6" s="46" t="s">
        <v>98</v>
      </c>
      <c r="W6" s="2" t="s">
        <v>108</v>
      </c>
    </row>
    <row r="7" spans="1:35" ht="17" x14ac:dyDescent="0.2">
      <c r="A7" s="168">
        <v>1887</v>
      </c>
      <c r="B7" s="175">
        <v>45647.560381944444</v>
      </c>
      <c r="C7" s="176" t="s">
        <v>151</v>
      </c>
      <c r="D7" s="177" t="s">
        <v>247</v>
      </c>
      <c r="E7" s="176" t="s">
        <v>248</v>
      </c>
      <c r="F7" s="178">
        <v>8</v>
      </c>
      <c r="G7" s="179"/>
      <c r="H7" s="179"/>
      <c r="I7" s="179"/>
      <c r="J7" s="179"/>
      <c r="K7" s="178"/>
      <c r="L7" s="178"/>
      <c r="M7" s="178"/>
      <c r="N7" s="178"/>
      <c r="O7" s="178"/>
      <c r="P7" s="178"/>
      <c r="Q7" s="178"/>
      <c r="R7" s="178"/>
      <c r="S7" s="178"/>
      <c r="T7" s="180">
        <v>8</v>
      </c>
      <c r="U7" s="180"/>
      <c r="V7" s="181" t="s">
        <v>73</v>
      </c>
      <c r="W7" s="182">
        <v>45647.51871527778</v>
      </c>
    </row>
    <row r="8" spans="1:35" ht="17" x14ac:dyDescent="0.2">
      <c r="A8" s="168">
        <v>1884</v>
      </c>
      <c r="B8" s="175">
        <v>45647.547060185185</v>
      </c>
      <c r="C8" s="176" t="s">
        <v>151</v>
      </c>
      <c r="D8" s="177" t="s">
        <v>241</v>
      </c>
      <c r="E8" s="176" t="s">
        <v>242</v>
      </c>
      <c r="F8" s="178">
        <v>6</v>
      </c>
      <c r="G8" s="179">
        <v>3</v>
      </c>
      <c r="H8" s="179"/>
      <c r="I8" s="179"/>
      <c r="J8" s="179"/>
      <c r="K8" s="178"/>
      <c r="L8" s="178"/>
      <c r="M8" s="178"/>
      <c r="N8" s="178"/>
      <c r="O8" s="178"/>
      <c r="P8" s="178"/>
      <c r="Q8" s="178">
        <v>1</v>
      </c>
      <c r="R8" s="178"/>
      <c r="S8" s="178"/>
      <c r="T8" s="180">
        <v>10</v>
      </c>
      <c r="U8" s="180"/>
      <c r="V8" s="181" t="s">
        <v>73</v>
      </c>
      <c r="W8" s="182">
        <v>45647.505393518521</v>
      </c>
    </row>
    <row r="9" spans="1:35" ht="17" x14ac:dyDescent="0.2">
      <c r="A9" s="168">
        <v>1883</v>
      </c>
      <c r="B9" s="175">
        <v>45647.526469907411</v>
      </c>
      <c r="C9" s="176" t="s">
        <v>151</v>
      </c>
      <c r="D9" s="177" t="s">
        <v>249</v>
      </c>
      <c r="E9" s="176" t="s">
        <v>250</v>
      </c>
      <c r="F9" s="178">
        <v>7</v>
      </c>
      <c r="G9" s="179">
        <v>3</v>
      </c>
      <c r="H9" s="179"/>
      <c r="I9" s="179"/>
      <c r="J9" s="179"/>
      <c r="K9" s="178"/>
      <c r="L9" s="178"/>
      <c r="M9" s="178"/>
      <c r="N9" s="178"/>
      <c r="O9" s="178"/>
      <c r="P9" s="178"/>
      <c r="Q9" s="178"/>
      <c r="R9" s="178">
        <v>1</v>
      </c>
      <c r="S9" s="178"/>
      <c r="T9" s="180">
        <v>11</v>
      </c>
      <c r="U9" s="180"/>
      <c r="V9" s="181" t="s">
        <v>73</v>
      </c>
      <c r="W9" s="182">
        <v>45647.484803240739</v>
      </c>
    </row>
    <row r="10" spans="1:35" ht="17" x14ac:dyDescent="0.2">
      <c r="A10" s="168">
        <v>1879</v>
      </c>
      <c r="B10" s="175">
        <v>45647.415462962963</v>
      </c>
      <c r="C10" s="176" t="s">
        <v>151</v>
      </c>
      <c r="D10" s="177" t="s">
        <v>244</v>
      </c>
      <c r="E10" s="176" t="s">
        <v>245</v>
      </c>
      <c r="F10" s="178">
        <v>7</v>
      </c>
      <c r="G10" s="179"/>
      <c r="H10" s="179"/>
      <c r="I10" s="179"/>
      <c r="J10" s="179"/>
      <c r="K10" s="178"/>
      <c r="L10" s="178"/>
      <c r="M10" s="178"/>
      <c r="N10" s="178"/>
      <c r="O10" s="178"/>
      <c r="P10" s="178"/>
      <c r="Q10" s="178">
        <v>2</v>
      </c>
      <c r="R10" s="178"/>
      <c r="S10" s="178"/>
      <c r="T10" s="180">
        <v>9</v>
      </c>
      <c r="U10" s="180"/>
      <c r="V10" s="181" t="s">
        <v>73</v>
      </c>
      <c r="W10" s="182">
        <v>45647.373796296299</v>
      </c>
    </row>
    <row r="11" spans="1:35" ht="17" x14ac:dyDescent="0.2">
      <c r="A11" s="168">
        <v>1878</v>
      </c>
      <c r="B11" s="175">
        <v>45646.827939814815</v>
      </c>
      <c r="C11" s="176" t="s">
        <v>151</v>
      </c>
      <c r="D11" s="177" t="s">
        <v>254</v>
      </c>
      <c r="E11" s="176" t="s">
        <v>255</v>
      </c>
      <c r="F11" s="178">
        <v>6</v>
      </c>
      <c r="G11" s="179"/>
      <c r="H11" s="179"/>
      <c r="I11" s="179"/>
      <c r="J11" s="179"/>
      <c r="K11" s="178"/>
      <c r="L11" s="178"/>
      <c r="M11" s="178"/>
      <c r="N11" s="178"/>
      <c r="O11" s="178"/>
      <c r="P11" s="178"/>
      <c r="Q11" s="178"/>
      <c r="R11" s="178"/>
      <c r="S11" s="178"/>
      <c r="T11" s="180">
        <v>6</v>
      </c>
      <c r="U11" s="180"/>
      <c r="V11" s="181" t="s">
        <v>73</v>
      </c>
      <c r="W11" s="182">
        <v>45646.786273148151</v>
      </c>
    </row>
    <row r="12" spans="1:35" ht="17" x14ac:dyDescent="0.2">
      <c r="A12" s="168">
        <v>1875</v>
      </c>
      <c r="B12" s="175">
        <v>45646.462129629632</v>
      </c>
      <c r="C12" s="176" t="s">
        <v>151</v>
      </c>
      <c r="D12" s="177" t="s">
        <v>234</v>
      </c>
      <c r="E12" s="176" t="s">
        <v>235</v>
      </c>
      <c r="F12" s="178">
        <v>16</v>
      </c>
      <c r="G12" s="179"/>
      <c r="H12" s="179"/>
      <c r="I12" s="179"/>
      <c r="J12" s="179"/>
      <c r="K12" s="178"/>
      <c r="L12" s="178"/>
      <c r="M12" s="178"/>
      <c r="N12" s="178"/>
      <c r="O12" s="178"/>
      <c r="P12" s="178"/>
      <c r="Q12" s="178"/>
      <c r="R12" s="178"/>
      <c r="S12" s="178"/>
      <c r="T12" s="180">
        <v>16</v>
      </c>
      <c r="U12" s="180"/>
      <c r="V12" s="181" t="s">
        <v>73</v>
      </c>
      <c r="W12" s="182">
        <v>45646.42046296296</v>
      </c>
    </row>
    <row r="13" spans="1:35" ht="34" x14ac:dyDescent="0.2">
      <c r="A13" s="168">
        <v>1871</v>
      </c>
      <c r="B13" s="175">
        <v>45645.464629629627</v>
      </c>
      <c r="C13" s="176" t="s">
        <v>151</v>
      </c>
      <c r="D13" s="177" t="s">
        <v>231</v>
      </c>
      <c r="E13" s="176" t="s">
        <v>232</v>
      </c>
      <c r="F13" s="178">
        <v>10</v>
      </c>
      <c r="G13" s="179"/>
      <c r="H13" s="179"/>
      <c r="I13" s="179"/>
      <c r="J13" s="179"/>
      <c r="K13" s="178"/>
      <c r="L13" s="178"/>
      <c r="M13" s="178"/>
      <c r="N13" s="178"/>
      <c r="O13" s="178"/>
      <c r="P13" s="178"/>
      <c r="Q13" s="178"/>
      <c r="R13" s="178"/>
      <c r="S13" s="178"/>
      <c r="T13" s="180">
        <v>10</v>
      </c>
      <c r="U13" s="180"/>
      <c r="V13" s="181" t="s">
        <v>239</v>
      </c>
      <c r="W13" s="182">
        <v>45645.422962962963</v>
      </c>
    </row>
    <row r="14" spans="1:35" ht="17" x14ac:dyDescent="0.2">
      <c r="A14" s="168">
        <v>1866</v>
      </c>
      <c r="B14" s="175">
        <v>45644.851886574077</v>
      </c>
      <c r="C14" s="176" t="s">
        <v>151</v>
      </c>
      <c r="D14" s="177" t="s">
        <v>228</v>
      </c>
      <c r="E14" s="176" t="s">
        <v>229</v>
      </c>
      <c r="F14" s="178">
        <v>6</v>
      </c>
      <c r="G14" s="179"/>
      <c r="H14" s="179"/>
      <c r="I14" s="179"/>
      <c r="J14" s="179"/>
      <c r="K14" s="178"/>
      <c r="L14" s="178"/>
      <c r="M14" s="178"/>
      <c r="N14" s="178"/>
      <c r="O14" s="178"/>
      <c r="P14" s="178"/>
      <c r="Q14" s="178"/>
      <c r="R14" s="178"/>
      <c r="S14" s="178"/>
      <c r="T14" s="180">
        <v>6</v>
      </c>
      <c r="U14" s="180"/>
      <c r="V14" s="181" t="s">
        <v>73</v>
      </c>
      <c r="W14" s="182">
        <v>45644.810219907406</v>
      </c>
    </row>
    <row r="15" spans="1:35" ht="34" x14ac:dyDescent="0.2">
      <c r="A15" s="168">
        <v>1861</v>
      </c>
      <c r="B15" s="175">
        <v>45644.479097222225</v>
      </c>
      <c r="C15" s="176" t="s">
        <v>151</v>
      </c>
      <c r="D15" s="177" t="s">
        <v>205</v>
      </c>
      <c r="E15" s="176" t="s">
        <v>206</v>
      </c>
      <c r="F15" s="178"/>
      <c r="G15" s="179">
        <v>7</v>
      </c>
      <c r="H15" s="179"/>
      <c r="I15" s="179"/>
      <c r="J15" s="179"/>
      <c r="K15" s="178"/>
      <c r="L15" s="178"/>
      <c r="M15" s="178"/>
      <c r="N15" s="178"/>
      <c r="O15" s="178"/>
      <c r="P15" s="178"/>
      <c r="Q15" s="178"/>
      <c r="R15" s="178"/>
      <c r="S15" s="178"/>
      <c r="T15" s="180">
        <v>7</v>
      </c>
      <c r="U15" s="180"/>
      <c r="V15" s="181" t="s">
        <v>222</v>
      </c>
      <c r="W15" s="182">
        <v>45644.534687500003</v>
      </c>
    </row>
    <row r="16" spans="1:35" ht="17" x14ac:dyDescent="0.2">
      <c r="A16" s="168">
        <v>1854</v>
      </c>
      <c r="B16" s="175">
        <v>45643.488506944443</v>
      </c>
      <c r="C16" s="176" t="s">
        <v>151</v>
      </c>
      <c r="D16" s="177" t="s">
        <v>207</v>
      </c>
      <c r="E16" s="176" t="s">
        <v>236</v>
      </c>
      <c r="F16" s="178">
        <v>7</v>
      </c>
      <c r="G16" s="179">
        <v>4</v>
      </c>
      <c r="H16" s="179"/>
      <c r="I16" s="179">
        <v>5</v>
      </c>
      <c r="J16" s="179"/>
      <c r="K16" s="178"/>
      <c r="L16" s="178"/>
      <c r="M16" s="178"/>
      <c r="N16" s="178"/>
      <c r="O16" s="178"/>
      <c r="P16" s="178"/>
      <c r="Q16" s="178"/>
      <c r="R16" s="178"/>
      <c r="S16" s="178"/>
      <c r="T16" s="180">
        <v>16</v>
      </c>
      <c r="U16" s="180">
        <v>5</v>
      </c>
      <c r="V16" s="181" t="s">
        <v>73</v>
      </c>
      <c r="W16" s="182">
        <v>45646.443449074075</v>
      </c>
    </row>
    <row r="17" spans="1:23" ht="17" x14ac:dyDescent="0.2">
      <c r="A17" s="168">
        <v>1851</v>
      </c>
      <c r="B17" s="175">
        <v>45642.834849537037</v>
      </c>
      <c r="C17" s="176" t="s">
        <v>151</v>
      </c>
      <c r="D17" s="177" t="s">
        <v>208</v>
      </c>
      <c r="E17" s="176" t="s">
        <v>209</v>
      </c>
      <c r="F17" s="178">
        <v>8</v>
      </c>
      <c r="G17" s="179">
        <v>10</v>
      </c>
      <c r="H17" s="179"/>
      <c r="I17" s="179">
        <v>4</v>
      </c>
      <c r="J17" s="179">
        <v>4</v>
      </c>
      <c r="K17" s="178"/>
      <c r="L17" s="178"/>
      <c r="M17" s="178"/>
      <c r="N17" s="178"/>
      <c r="O17" s="178"/>
      <c r="P17" s="178"/>
      <c r="Q17" s="178"/>
      <c r="R17" s="178"/>
      <c r="S17" s="178"/>
      <c r="T17" s="180">
        <v>26</v>
      </c>
      <c r="U17" s="180">
        <v>8</v>
      </c>
      <c r="V17" s="181" t="s">
        <v>73</v>
      </c>
      <c r="W17" s="182">
        <v>45642.793182870373</v>
      </c>
    </row>
    <row r="18" spans="1:23" ht="17" x14ac:dyDescent="0.2">
      <c r="A18" s="168">
        <v>1845</v>
      </c>
      <c r="B18" s="175">
        <v>45642.795995370368</v>
      </c>
      <c r="C18" s="176" t="s">
        <v>151</v>
      </c>
      <c r="D18" s="177" t="s">
        <v>210</v>
      </c>
      <c r="E18" s="176" t="s">
        <v>211</v>
      </c>
      <c r="F18" s="178">
        <v>5</v>
      </c>
      <c r="G18" s="179">
        <v>3</v>
      </c>
      <c r="H18" s="179"/>
      <c r="I18" s="179"/>
      <c r="J18" s="179"/>
      <c r="K18" s="178">
        <v>4</v>
      </c>
      <c r="L18" s="178"/>
      <c r="M18" s="178"/>
      <c r="N18" s="178"/>
      <c r="O18" s="178"/>
      <c r="P18" s="178"/>
      <c r="Q18" s="178">
        <v>3</v>
      </c>
      <c r="R18" s="178">
        <v>1</v>
      </c>
      <c r="S18" s="178"/>
      <c r="T18" s="180">
        <v>16</v>
      </c>
      <c r="U18" s="180"/>
      <c r="V18" s="181" t="s">
        <v>73</v>
      </c>
      <c r="W18" s="182">
        <v>45642.754328703704</v>
      </c>
    </row>
    <row r="19" spans="1:23" ht="17" x14ac:dyDescent="0.2">
      <c r="A19" s="168">
        <v>1836</v>
      </c>
      <c r="B19" s="175">
        <v>45641.51630787037</v>
      </c>
      <c r="C19" s="176" t="s">
        <v>151</v>
      </c>
      <c r="D19" s="177" t="s">
        <v>153</v>
      </c>
      <c r="E19" s="176" t="s">
        <v>154</v>
      </c>
      <c r="F19" s="178">
        <v>14</v>
      </c>
      <c r="G19" s="179"/>
      <c r="H19" s="179"/>
      <c r="I19" s="179"/>
      <c r="J19" s="179"/>
      <c r="K19" s="178">
        <v>6</v>
      </c>
      <c r="L19" s="178"/>
      <c r="M19" s="178"/>
      <c r="N19" s="178"/>
      <c r="O19" s="178"/>
      <c r="P19" s="178"/>
      <c r="Q19" s="178">
        <v>4</v>
      </c>
      <c r="R19" s="178"/>
      <c r="S19" s="178"/>
      <c r="T19" s="180">
        <v>24</v>
      </c>
      <c r="U19" s="180"/>
      <c r="V19" s="181" t="s">
        <v>73</v>
      </c>
      <c r="W19" s="182">
        <v>45641.474641203706</v>
      </c>
    </row>
    <row r="20" spans="1:23" ht="17" x14ac:dyDescent="0.2">
      <c r="A20" s="168">
        <v>1831</v>
      </c>
      <c r="B20" s="175">
        <v>45639.378553240742</v>
      </c>
      <c r="C20" s="176" t="s">
        <v>151</v>
      </c>
      <c r="D20" s="177" t="s">
        <v>172</v>
      </c>
      <c r="E20" s="176" t="s">
        <v>168</v>
      </c>
      <c r="F20" s="178">
        <v>10</v>
      </c>
      <c r="G20" s="179">
        <v>3</v>
      </c>
      <c r="H20" s="179"/>
      <c r="I20" s="179">
        <v>6</v>
      </c>
      <c r="J20" s="179"/>
      <c r="K20" s="178"/>
      <c r="L20" s="178"/>
      <c r="M20" s="178"/>
      <c r="N20" s="178"/>
      <c r="O20" s="178"/>
      <c r="P20" s="178"/>
      <c r="Q20" s="178"/>
      <c r="R20" s="178"/>
      <c r="S20" s="178"/>
      <c r="T20" s="180">
        <v>19</v>
      </c>
      <c r="U20" s="180">
        <v>6</v>
      </c>
      <c r="V20" s="181" t="s">
        <v>73</v>
      </c>
      <c r="W20" s="182">
        <v>45639.336886574078</v>
      </c>
    </row>
    <row r="21" spans="1:23" ht="17" x14ac:dyDescent="0.2">
      <c r="A21" s="168">
        <v>1827</v>
      </c>
      <c r="B21" s="175">
        <v>45637.593124999999</v>
      </c>
      <c r="C21" s="176" t="s">
        <v>151</v>
      </c>
      <c r="D21" s="177" t="s">
        <v>179</v>
      </c>
      <c r="E21" s="176" t="s">
        <v>166</v>
      </c>
      <c r="F21" s="178"/>
      <c r="G21" s="179"/>
      <c r="H21" s="179"/>
      <c r="I21" s="179">
        <v>6</v>
      </c>
      <c r="J21" s="179"/>
      <c r="K21" s="178"/>
      <c r="L21" s="178"/>
      <c r="M21" s="178"/>
      <c r="N21" s="178"/>
      <c r="O21" s="178"/>
      <c r="P21" s="178"/>
      <c r="Q21" s="178"/>
      <c r="R21" s="178">
        <v>1</v>
      </c>
      <c r="S21" s="178">
        <v>5</v>
      </c>
      <c r="T21" s="180">
        <v>12</v>
      </c>
      <c r="U21" s="180">
        <v>11</v>
      </c>
      <c r="V21" s="181" t="s">
        <v>73</v>
      </c>
      <c r="W21" s="182">
        <v>45637.551458333335</v>
      </c>
    </row>
    <row r="22" spans="1:23" ht="17" x14ac:dyDescent="0.2">
      <c r="A22" s="168">
        <v>1824</v>
      </c>
      <c r="B22" s="175">
        <v>45637.575682870367</v>
      </c>
      <c r="C22" s="176" t="s">
        <v>151</v>
      </c>
      <c r="D22" s="177" t="s">
        <v>181</v>
      </c>
      <c r="E22" s="176" t="s">
        <v>159</v>
      </c>
      <c r="F22" s="178">
        <v>7</v>
      </c>
      <c r="G22" s="179"/>
      <c r="H22" s="179"/>
      <c r="I22" s="179"/>
      <c r="J22" s="179"/>
      <c r="K22" s="178"/>
      <c r="L22" s="178"/>
      <c r="M22" s="178"/>
      <c r="N22" s="178"/>
      <c r="O22" s="178"/>
      <c r="P22" s="178"/>
      <c r="Q22" s="178">
        <v>1</v>
      </c>
      <c r="R22" s="178"/>
      <c r="S22" s="178"/>
      <c r="T22" s="180">
        <v>8</v>
      </c>
      <c r="U22" s="180"/>
      <c r="V22" s="181" t="s">
        <v>73</v>
      </c>
      <c r="W22" s="182">
        <v>45637.534016203703</v>
      </c>
    </row>
    <row r="23" spans="1:23" ht="17" x14ac:dyDescent="0.2">
      <c r="A23" s="168">
        <v>1820</v>
      </c>
      <c r="B23" s="175">
        <v>45635.779479166667</v>
      </c>
      <c r="C23" s="176" t="s">
        <v>151</v>
      </c>
      <c r="D23" s="177" t="s">
        <v>175</v>
      </c>
      <c r="E23" s="176" t="s">
        <v>164</v>
      </c>
      <c r="F23" s="178">
        <v>8</v>
      </c>
      <c r="G23" s="179"/>
      <c r="H23" s="179"/>
      <c r="I23" s="179"/>
      <c r="J23" s="179"/>
      <c r="K23" s="178"/>
      <c r="L23" s="178"/>
      <c r="M23" s="178"/>
      <c r="N23" s="178"/>
      <c r="O23" s="178"/>
      <c r="P23" s="178"/>
      <c r="Q23" s="178"/>
      <c r="R23" s="178"/>
      <c r="S23" s="178"/>
      <c r="T23" s="180">
        <v>8</v>
      </c>
      <c r="U23" s="180"/>
      <c r="V23" s="181" t="s">
        <v>73</v>
      </c>
      <c r="W23" s="182">
        <v>45635.737812500003</v>
      </c>
    </row>
    <row r="24" spans="1:23" ht="17" x14ac:dyDescent="0.2">
      <c r="A24" s="168">
        <v>1817</v>
      </c>
      <c r="B24" s="175">
        <v>45634.985729166663</v>
      </c>
      <c r="C24" s="176" t="s">
        <v>151</v>
      </c>
      <c r="D24" s="177" t="s">
        <v>182</v>
      </c>
      <c r="E24" s="176" t="s">
        <v>150</v>
      </c>
      <c r="F24" s="178">
        <v>3</v>
      </c>
      <c r="G24" s="179"/>
      <c r="H24" s="179"/>
      <c r="I24" s="179"/>
      <c r="J24" s="179"/>
      <c r="K24" s="178"/>
      <c r="L24" s="178"/>
      <c r="M24" s="178"/>
      <c r="N24" s="178"/>
      <c r="O24" s="178"/>
      <c r="P24" s="178"/>
      <c r="Q24" s="178"/>
      <c r="R24" s="178"/>
      <c r="S24" s="178"/>
      <c r="T24" s="180">
        <v>3</v>
      </c>
      <c r="U24" s="180"/>
      <c r="V24" s="181" t="s">
        <v>73</v>
      </c>
      <c r="W24" s="182">
        <v>45634.944062499999</v>
      </c>
    </row>
    <row r="25" spans="1:23" ht="17" x14ac:dyDescent="0.2">
      <c r="A25" s="168">
        <v>1811</v>
      </c>
      <c r="B25" s="175">
        <v>45630.538402777776</v>
      </c>
      <c r="C25" s="176" t="s">
        <v>151</v>
      </c>
      <c r="D25" s="177" t="s">
        <v>185</v>
      </c>
      <c r="E25" s="176" t="s">
        <v>133</v>
      </c>
      <c r="F25" s="178">
        <v>9</v>
      </c>
      <c r="G25" s="179">
        <v>3</v>
      </c>
      <c r="H25" s="179"/>
      <c r="I25" s="179">
        <v>3</v>
      </c>
      <c r="J25" s="179"/>
      <c r="K25" s="178"/>
      <c r="L25" s="178"/>
      <c r="M25" s="178"/>
      <c r="N25" s="178"/>
      <c r="O25" s="178"/>
      <c r="P25" s="178"/>
      <c r="Q25" s="178"/>
      <c r="R25" s="178"/>
      <c r="S25" s="178"/>
      <c r="T25" s="180">
        <v>15</v>
      </c>
      <c r="U25" s="180">
        <v>3</v>
      </c>
      <c r="V25" s="181" t="s">
        <v>73</v>
      </c>
      <c r="W25" s="182">
        <v>45631.710057870368</v>
      </c>
    </row>
    <row r="26" spans="1:23" x14ac:dyDescent="0.2">
      <c r="A26" t="s">
        <v>79</v>
      </c>
      <c r="B26" s="172"/>
      <c r="C26" s="172">
        <f>SUBTOTAL(103,GKVI[GKVI])</f>
        <v>19</v>
      </c>
      <c r="D26" s="172"/>
      <c r="E26" s="172"/>
      <c r="F26" s="173">
        <f>SUBTOTAL(109,GKVI[Korps klassiek senioren])</f>
        <v>137</v>
      </c>
      <c r="G26" s="173">
        <f>SUBTOTAL(109,GKVI[Korps 1 klassiek junioren])</f>
        <v>36</v>
      </c>
      <c r="H26" s="173">
        <f>SUBTOTAL(109,GKVI[Korps 2 klassiek junioren])</f>
        <v>0</v>
      </c>
      <c r="I26" s="173">
        <f>SUBTOTAL(109,GKVI[Korps 1 klassiek aspiranten])</f>
        <v>24</v>
      </c>
      <c r="J26" s="173">
        <f>SUBTOTAL(109,GKVI[Korps 2 klassiek aspiranten])</f>
        <v>4</v>
      </c>
      <c r="K26" s="173">
        <f>SUBTOTAL(109,GKVI[Korps acrob. senioren])</f>
        <v>10</v>
      </c>
      <c r="L26" s="173">
        <f>SUBTOTAL(109,GKVI[Korps acrob. junioren])</f>
        <v>0</v>
      </c>
      <c r="M26" s="173">
        <f>SUBTOTAL(109,GKVI[Korps acrob. aspiranten])</f>
        <v>0</v>
      </c>
      <c r="N26" s="173"/>
      <c r="O26" s="173">
        <f>SUBTOTAL(109,GKVI[Korps show junioren])</f>
        <v>0</v>
      </c>
      <c r="P26" s="173">
        <f>SUBTOTAL(109,GKVI[Korps show aspiranten])</f>
        <v>0</v>
      </c>
      <c r="Q26" s="173">
        <f>SUBTOTAL(109,GKVI[Senioren])</f>
        <v>11</v>
      </c>
      <c r="R26" s="173">
        <f>SUBTOTAL(109,GKVI[Junioren])</f>
        <v>3</v>
      </c>
      <c r="S26" s="173">
        <f>SUBTOTAL(109,GKVI[Aspiranten])</f>
        <v>5</v>
      </c>
      <c r="T26" s="173">
        <f>SUBTOTAL(109,GKVI[Aantal deelnemers])</f>
        <v>230</v>
      </c>
      <c r="U26" s="173">
        <f>SUBTOTAL(109,GKVI[Hiervan is aspirant])</f>
        <v>33</v>
      </c>
      <c r="V26" s="174"/>
      <c r="W26"/>
    </row>
  </sheetData>
  <mergeCells count="10">
    <mergeCell ref="K5:M5"/>
    <mergeCell ref="N5:P5"/>
    <mergeCell ref="Q5:S5"/>
    <mergeCell ref="A1:Y1"/>
    <mergeCell ref="A2:Y2"/>
    <mergeCell ref="K4:M4"/>
    <mergeCell ref="N4:P4"/>
    <mergeCell ref="Q4:S4"/>
    <mergeCell ref="F4:J4"/>
    <mergeCell ref="F5:J5"/>
  </mergeCells>
  <phoneticPr fontId="2" type="noConversion"/>
  <pageMargins left="0.25" right="0.25" top="0.75" bottom="0.75" header="0.3" footer="0.3"/>
  <pageSetup paperSize="9" scale="49"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C9992-0072-43F1-83E6-036A14549315}">
  <dimension ref="A1:K13"/>
  <sheetViews>
    <sheetView zoomScale="110" zoomScaleNormal="110" workbookViewId="0">
      <selection activeCell="C7" sqref="C7"/>
    </sheetView>
  </sheetViews>
  <sheetFormatPr baseColWidth="10" defaultColWidth="8.83203125" defaultRowHeight="15" x14ac:dyDescent="0.2"/>
  <cols>
    <col min="1" max="1" width="8.33203125" bestFit="1" customWidth="1"/>
    <col min="2" max="2" width="9.1640625" bestFit="1" customWidth="1"/>
    <col min="3" max="3" width="51.33203125" bestFit="1" customWidth="1"/>
    <col min="4" max="4" width="13.1640625" style="1" bestFit="1" customWidth="1"/>
    <col min="5" max="5" width="18.83203125" style="1" bestFit="1" customWidth="1"/>
    <col min="6" max="6" width="13" style="1" bestFit="1" customWidth="1"/>
    <col min="7" max="7" width="14.6640625" bestFit="1" customWidth="1"/>
    <col min="8" max="8" width="23.6640625" bestFit="1" customWidth="1"/>
    <col min="9" max="9" width="13.33203125" bestFit="1" customWidth="1"/>
    <col min="10" max="11" width="15" bestFit="1" customWidth="1"/>
  </cols>
  <sheetData>
    <row r="1" spans="1:11" ht="24" x14ac:dyDescent="0.3">
      <c r="C1" s="166" t="s">
        <v>146</v>
      </c>
      <c r="D1" s="166"/>
      <c r="E1" s="166"/>
      <c r="F1" s="166"/>
      <c r="G1" s="166"/>
    </row>
    <row r="2" spans="1:11" ht="16" x14ac:dyDescent="0.2">
      <c r="C2" s="167" t="s">
        <v>147</v>
      </c>
      <c r="D2" s="167"/>
      <c r="E2" s="167"/>
      <c r="F2" s="167"/>
      <c r="G2" s="167"/>
    </row>
    <row r="3" spans="1:11" ht="16" x14ac:dyDescent="0.2">
      <c r="C3" s="48"/>
      <c r="D3" s="48"/>
      <c r="E3" s="48"/>
      <c r="F3" s="48"/>
      <c r="G3" s="48"/>
    </row>
    <row r="4" spans="1:11" ht="17" x14ac:dyDescent="0.2">
      <c r="A4" s="49"/>
      <c r="B4" s="49" t="s">
        <v>101</v>
      </c>
      <c r="C4" s="49"/>
      <c r="D4" s="50" t="s">
        <v>194</v>
      </c>
      <c r="E4" s="50" t="s">
        <v>195</v>
      </c>
      <c r="F4" s="50" t="s">
        <v>195</v>
      </c>
      <c r="G4" s="50" t="s">
        <v>195</v>
      </c>
      <c r="H4" s="49"/>
      <c r="I4" s="49"/>
      <c r="J4" s="83"/>
      <c r="K4" s="83"/>
    </row>
    <row r="5" spans="1:11" x14ac:dyDescent="0.2">
      <c r="A5" s="2" t="s">
        <v>102</v>
      </c>
      <c r="B5" s="2" t="s">
        <v>90</v>
      </c>
      <c r="C5" s="2" t="s">
        <v>19</v>
      </c>
      <c r="D5" s="5" t="s">
        <v>38</v>
      </c>
      <c r="E5" s="5" t="s">
        <v>111</v>
      </c>
      <c r="F5" s="5" t="s">
        <v>39</v>
      </c>
      <c r="G5" s="5" t="s">
        <v>40</v>
      </c>
      <c r="H5" s="2" t="s">
        <v>103</v>
      </c>
      <c r="I5" s="2" t="s">
        <v>51</v>
      </c>
      <c r="J5" s="2" t="s">
        <v>52</v>
      </c>
      <c r="K5" s="2" t="s">
        <v>108</v>
      </c>
    </row>
    <row r="6" spans="1:11" x14ac:dyDescent="0.2">
      <c r="A6" s="15" t="s">
        <v>152</v>
      </c>
      <c r="B6" s="15" t="s">
        <v>244</v>
      </c>
      <c r="C6" s="15" t="s">
        <v>245</v>
      </c>
      <c r="D6" s="16">
        <v>3</v>
      </c>
      <c r="E6" s="86"/>
      <c r="F6" s="16"/>
      <c r="G6" s="16"/>
      <c r="H6" s="15" t="s">
        <v>73</v>
      </c>
      <c r="I6" s="15" t="s">
        <v>256</v>
      </c>
      <c r="J6" s="59">
        <v>45647.423356481479</v>
      </c>
      <c r="K6" s="87">
        <v>45647.381689814814</v>
      </c>
    </row>
    <row r="7" spans="1:11" x14ac:dyDescent="0.2">
      <c r="A7" s="15" t="s">
        <v>152</v>
      </c>
      <c r="B7" s="15" t="s">
        <v>231</v>
      </c>
      <c r="C7" s="15" t="s">
        <v>232</v>
      </c>
      <c r="D7" s="16">
        <v>5</v>
      </c>
      <c r="E7" s="86"/>
      <c r="F7" s="16"/>
      <c r="G7" s="16"/>
      <c r="H7" s="15" t="s">
        <v>73</v>
      </c>
      <c r="I7" s="15" t="s">
        <v>240</v>
      </c>
      <c r="J7" s="59">
        <v>45645.468182870369</v>
      </c>
      <c r="K7" s="87">
        <v>45645.426516203705</v>
      </c>
    </row>
    <row r="8" spans="1:11" x14ac:dyDescent="0.2">
      <c r="A8" s="15" t="s">
        <v>152</v>
      </c>
      <c r="B8" s="15" t="s">
        <v>228</v>
      </c>
      <c r="C8" s="15" t="s">
        <v>229</v>
      </c>
      <c r="D8" s="16">
        <v>5</v>
      </c>
      <c r="E8" s="86"/>
      <c r="F8" s="16"/>
      <c r="G8" s="16"/>
      <c r="H8" s="15" t="s">
        <v>73</v>
      </c>
      <c r="I8" s="15" t="s">
        <v>230</v>
      </c>
      <c r="J8" s="59">
        <v>45644.86383101852</v>
      </c>
      <c r="K8" s="87">
        <v>45644.822164351855</v>
      </c>
    </row>
    <row r="9" spans="1:11" x14ac:dyDescent="0.2">
      <c r="A9" s="15" t="s">
        <v>152</v>
      </c>
      <c r="B9" s="15" t="s">
        <v>186</v>
      </c>
      <c r="C9" s="15" t="s">
        <v>187</v>
      </c>
      <c r="D9" s="16">
        <v>5</v>
      </c>
      <c r="E9" s="86"/>
      <c r="F9" s="16"/>
      <c r="G9" s="16"/>
      <c r="H9" s="15" t="s">
        <v>73</v>
      </c>
      <c r="I9" s="15" t="s">
        <v>223</v>
      </c>
      <c r="J9" s="59">
        <v>45642.835046296299</v>
      </c>
      <c r="K9" s="87">
        <v>45642.793379629627</v>
      </c>
    </row>
    <row r="10" spans="1:11" x14ac:dyDescent="0.2">
      <c r="A10" s="15" t="s">
        <v>152</v>
      </c>
      <c r="B10" s="15" t="s">
        <v>200</v>
      </c>
      <c r="C10" s="15" t="s">
        <v>201</v>
      </c>
      <c r="D10" s="16">
        <v>6</v>
      </c>
      <c r="E10" s="86"/>
      <c r="F10" s="16"/>
      <c r="G10" s="16"/>
      <c r="H10" s="15" t="s">
        <v>73</v>
      </c>
      <c r="I10" s="15" t="s">
        <v>202</v>
      </c>
      <c r="J10" s="59">
        <v>45641.871018518519</v>
      </c>
      <c r="K10" s="87">
        <v>45641.829351851855</v>
      </c>
    </row>
    <row r="11" spans="1:11" x14ac:dyDescent="0.2">
      <c r="A11" s="15" t="s">
        <v>152</v>
      </c>
      <c r="B11" s="15" t="s">
        <v>153</v>
      </c>
      <c r="C11" s="15" t="s">
        <v>154</v>
      </c>
      <c r="D11" s="16">
        <v>5</v>
      </c>
      <c r="E11" s="86"/>
      <c r="F11" s="16"/>
      <c r="G11" s="16"/>
      <c r="H11" s="15" t="s">
        <v>73</v>
      </c>
      <c r="I11" s="15" t="s">
        <v>191</v>
      </c>
      <c r="J11" s="59">
        <v>45641.534641203703</v>
      </c>
      <c r="K11" s="87">
        <v>45641.492974537039</v>
      </c>
    </row>
    <row r="12" spans="1:11" x14ac:dyDescent="0.2">
      <c r="A12" s="15" t="s">
        <v>152</v>
      </c>
      <c r="B12" s="15" t="s">
        <v>172</v>
      </c>
      <c r="C12" s="15" t="s">
        <v>168</v>
      </c>
      <c r="D12" s="16">
        <v>11</v>
      </c>
      <c r="E12" s="86"/>
      <c r="F12" s="16"/>
      <c r="G12" s="16">
        <v>4</v>
      </c>
      <c r="H12" s="15" t="s">
        <v>73</v>
      </c>
      <c r="I12" s="15" t="s">
        <v>173</v>
      </c>
      <c r="J12" s="59">
        <v>45639.397199074076</v>
      </c>
      <c r="K12" s="87">
        <v>45639.355532407404</v>
      </c>
    </row>
    <row r="13" spans="1:11" x14ac:dyDescent="0.2">
      <c r="A13" s="15" t="s">
        <v>79</v>
      </c>
      <c r="B13" s="15"/>
      <c r="C13" s="15">
        <f>SUBTOTAL(103,Bielemantreffen_2[Naam vereniging])</f>
        <v>7</v>
      </c>
      <c r="D13" s="16">
        <f>SUBTOTAL(109,Bielemantreffen_2[Senioren])</f>
        <v>40</v>
      </c>
      <c r="E13" s="16">
        <f>SUBTOTAL(109,Bielemantreffen_2[Jong volwassene])</f>
        <v>0</v>
      </c>
      <c r="F13" s="16">
        <f>SUBTOTAL(109,Bielemantreffen_2[Junioren])</f>
        <v>0</v>
      </c>
      <c r="G13" s="16">
        <f>SUBTOTAL(109,Bielemantreffen_2[Aspiranten])</f>
        <v>4</v>
      </c>
      <c r="H13" s="15"/>
      <c r="I13" s="15"/>
      <c r="J13" s="15"/>
    </row>
  </sheetData>
  <mergeCells count="2">
    <mergeCell ref="C1:G1"/>
    <mergeCell ref="C2:G2"/>
  </mergeCells>
  <phoneticPr fontId="2"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5ad308b-2083-401f-bfeb-b2b7430ea54a">
      <UserInfo>
        <DisplayName>schietcommissie</DisplayName>
        <AccountId>29</AccountId>
        <AccountType/>
      </UserInfo>
      <UserInfo>
        <DisplayName>jurycollege</DisplayName>
        <AccountId>28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8E49110E16CA4CAD6807469259A23F" ma:contentTypeVersion="6" ma:contentTypeDescription="Een nieuw document maken." ma:contentTypeScope="" ma:versionID="503606b4f41f0a73a81736a59bde342f">
  <xsd:schema xmlns:xsd="http://www.w3.org/2001/XMLSchema" xmlns:xs="http://www.w3.org/2001/XMLSchema" xmlns:p="http://schemas.microsoft.com/office/2006/metadata/properties" xmlns:ns2="16868e8d-a882-449e-81d4-1ad0b5292899" xmlns:ns3="65ad308b-2083-401f-bfeb-b2b7430ea54a" targetNamespace="http://schemas.microsoft.com/office/2006/metadata/properties" ma:root="true" ma:fieldsID="ed7dc1ef7960956dcd4775d5e4f1f8d4" ns2:_="" ns3:_="">
    <xsd:import namespace="16868e8d-a882-449e-81d4-1ad0b5292899"/>
    <xsd:import namespace="65ad308b-2083-401f-bfeb-b2b7430ea5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68e8d-a882-449e-81d4-1ad0b5292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ad308b-2083-401f-bfeb-b2b7430ea54a"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4C6B04D2-3A34-43D6-AE19-27D8B6662CDC}">
  <ds:schemaRefs>
    <ds:schemaRef ds:uri="http://schemas.microsoft.com/office/2006/metadata/properties"/>
    <ds:schemaRef ds:uri="65ad308b-2083-401f-bfeb-b2b7430ea54a"/>
    <ds:schemaRef ds:uri="16868e8d-a882-449e-81d4-1ad0b5292899"/>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A531949-6BE2-4996-A31A-B2AE19440964}">
  <ds:schemaRefs>
    <ds:schemaRef ds:uri="http://schemas.microsoft.com/sharepoint/v3/contenttype/forms"/>
  </ds:schemaRefs>
</ds:datastoreItem>
</file>

<file path=customXml/itemProps3.xml><?xml version="1.0" encoding="utf-8"?>
<ds:datastoreItem xmlns:ds="http://schemas.openxmlformats.org/officeDocument/2006/customXml" ds:itemID="{1E33B80B-A065-43C1-B140-E5F61ABCE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68e8d-a882-449e-81d4-1ad0b5292899"/>
    <ds:schemaRef ds:uri="65ad308b-2083-401f-bfeb-b2b7430ea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0A11DB6-8985-46B0-9B19-824420130A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Kringdagen</vt:lpstr>
      <vt:lpstr>KDM</vt:lpstr>
      <vt:lpstr>KDL</vt:lpstr>
      <vt:lpstr>KDA</vt:lpstr>
      <vt:lpstr>KDRvNB</vt:lpstr>
      <vt:lpstr>LJ</vt:lpstr>
      <vt:lpstr>FSD</vt:lpstr>
      <vt:lpstr>GKVI</vt:lpstr>
      <vt:lpstr>BIEL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Tjebbe</dc:creator>
  <cp:keywords/>
  <dc:description/>
  <cp:lastModifiedBy>Tjebbe Kersten</cp:lastModifiedBy>
  <cp:revision/>
  <dcterms:created xsi:type="dcterms:W3CDTF">2021-08-01T11:23:23Z</dcterms:created>
  <dcterms:modified xsi:type="dcterms:W3CDTF">2024-12-21T12:43:56Z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0x010100628E49110E16CA4CAD6807469259A23F</vt:lpwstr>
  </property>
</Properties>
</file>